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D:\Dropbox (Personal)\5. PieceKeeper Games\1. Consulting\9. Kirk Resources to Share\"/>
    </mc:Choice>
  </mc:AlternateContent>
  <xr:revisionPtr revIDLastSave="0" documentId="13_ncr:1_{90A8E863-F0FE-433C-B70D-F4456A526DA9}" xr6:coauthVersionLast="47" xr6:coauthVersionMax="47" xr10:uidLastSave="{00000000-0000-0000-0000-000000000000}"/>
  <bookViews>
    <workbookView xWindow="-120" yWindow="-120" windowWidth="38640" windowHeight="21240" activeTab="1" xr2:uid="{00000000-000D-0000-FFFF-FFFF00000000}"/>
  </bookViews>
  <sheets>
    <sheet name="Ship by Country - Rollup" sheetId="8" r:id="rId1"/>
    <sheet name="By Country - Game" sheetId="3" r:id="rId2"/>
    <sheet name="Ship by Country 2 - Retail" sheetId="7" state="hidden" r:id="rId3"/>
  </sheets>
  <definedNames>
    <definedName name="_xlnm._FilterDatabase" localSheetId="1" hidden="1">'By Country - Game'!$A$6:$AJ$61</definedName>
    <definedName name="_xlnm._FilterDatabase" localSheetId="2" hidden="1">'Ship by Country 2 - Retail'!$A$3:$AN$64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J4" i="3" l="1"/>
  <c r="S3" i="3"/>
  <c r="AJ2" i="3"/>
  <c r="V50" i="3"/>
  <c r="V52" i="3"/>
  <c r="V53" i="3"/>
  <c r="V54" i="3"/>
  <c r="V55" i="3"/>
  <c r="V56" i="3"/>
  <c r="V57" i="3"/>
  <c r="V58" i="3"/>
  <c r="V59" i="3"/>
  <c r="V60" i="3"/>
  <c r="AB11" i="3"/>
  <c r="AA11" i="3"/>
  <c r="Y11" i="3"/>
  <c r="X11" i="3"/>
  <c r="V11" i="3"/>
  <c r="AG11" i="3" s="1"/>
  <c r="R11" i="3"/>
  <c r="Z11" i="3" s="1"/>
  <c r="W11" i="3" s="1"/>
  <c r="Z43" i="3"/>
  <c r="Z42" i="3"/>
  <c r="AA8" i="3"/>
  <c r="AA9" i="3"/>
  <c r="AA10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53" i="3"/>
  <c r="AA54" i="3"/>
  <c r="AA55" i="3"/>
  <c r="AA56" i="3"/>
  <c r="AA57" i="3"/>
  <c r="AA58" i="3"/>
  <c r="AA59" i="3"/>
  <c r="AA60" i="3"/>
  <c r="AA7" i="3"/>
  <c r="X8" i="3"/>
  <c r="X9" i="3"/>
  <c r="X10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X60" i="3"/>
  <c r="X7" i="3"/>
  <c r="AD11" i="3" l="1"/>
  <c r="AC11" i="3"/>
  <c r="AE11" i="3" s="1"/>
  <c r="AF11" i="3" l="1"/>
  <c r="AJ3" i="3" l="1"/>
  <c r="AJ1" i="3" l="1"/>
  <c r="AB59" i="3" l="1"/>
  <c r="Y59" i="3"/>
  <c r="AB60" i="3"/>
  <c r="Y60" i="3"/>
  <c r="AB58" i="3"/>
  <c r="Y58" i="3"/>
  <c r="AB57" i="3"/>
  <c r="Y57" i="3"/>
  <c r="AB56" i="3"/>
  <c r="Y56" i="3"/>
  <c r="AB55" i="3"/>
  <c r="Y55" i="3"/>
  <c r="AB54" i="3"/>
  <c r="Y54" i="3"/>
  <c r="AB53" i="3"/>
  <c r="Y53" i="3"/>
  <c r="AB52" i="3"/>
  <c r="Y52" i="3"/>
  <c r="AB51" i="3"/>
  <c r="Y51" i="3"/>
  <c r="AB50" i="3"/>
  <c r="Y50" i="3"/>
  <c r="AB49" i="3"/>
  <c r="Y49" i="3"/>
  <c r="AB48" i="3"/>
  <c r="Y48" i="3"/>
  <c r="AB47" i="3"/>
  <c r="Y47" i="3"/>
  <c r="AB46" i="3"/>
  <c r="Y46" i="3"/>
  <c r="AB45" i="3"/>
  <c r="Y45" i="3"/>
  <c r="AB44" i="3"/>
  <c r="Y44" i="3"/>
  <c r="AB43" i="3"/>
  <c r="W43" i="3"/>
  <c r="Y43" i="3"/>
  <c r="AB42" i="3"/>
  <c r="W42" i="3"/>
  <c r="Y42" i="3"/>
  <c r="AB41" i="3"/>
  <c r="Y41" i="3"/>
  <c r="AB40" i="3"/>
  <c r="Y40" i="3"/>
  <c r="AB39" i="3"/>
  <c r="Y39" i="3"/>
  <c r="AB38" i="3"/>
  <c r="Y38" i="3"/>
  <c r="AB37" i="3"/>
  <c r="Y37" i="3"/>
  <c r="AB36" i="3"/>
  <c r="Y36" i="3"/>
  <c r="AB35" i="3"/>
  <c r="Y35" i="3"/>
  <c r="AB34" i="3"/>
  <c r="Y34" i="3"/>
  <c r="AB33" i="3"/>
  <c r="Y33" i="3"/>
  <c r="AB32" i="3"/>
  <c r="Y32" i="3"/>
  <c r="AB31" i="3"/>
  <c r="Y31" i="3"/>
  <c r="AB30" i="3"/>
  <c r="Y30" i="3"/>
  <c r="AB29" i="3"/>
  <c r="Y29" i="3"/>
  <c r="AB28" i="3"/>
  <c r="Y28" i="3"/>
  <c r="AB27" i="3"/>
  <c r="Y27" i="3"/>
  <c r="AB26" i="3"/>
  <c r="Y26" i="3"/>
  <c r="AB25" i="3"/>
  <c r="Y25" i="3"/>
  <c r="AB24" i="3"/>
  <c r="Y24" i="3"/>
  <c r="AB23" i="3"/>
  <c r="Y23" i="3"/>
  <c r="AB22" i="3"/>
  <c r="Y22" i="3"/>
  <c r="AB21" i="3"/>
  <c r="Y21" i="3"/>
  <c r="AB20" i="3"/>
  <c r="Y20" i="3"/>
  <c r="AB19" i="3"/>
  <c r="Y19" i="3"/>
  <c r="AB18" i="3"/>
  <c r="Y18" i="3"/>
  <c r="AB17" i="3"/>
  <c r="Y17" i="3"/>
  <c r="AB16" i="3"/>
  <c r="Y16" i="3"/>
  <c r="AB15" i="3"/>
  <c r="Y15" i="3"/>
  <c r="AB14" i="3"/>
  <c r="Y14" i="3"/>
  <c r="AB13" i="3"/>
  <c r="Y13" i="3"/>
  <c r="AB12" i="3"/>
  <c r="Y12" i="3"/>
  <c r="AB10" i="3"/>
  <c r="Y10" i="3"/>
  <c r="AB9" i="3"/>
  <c r="Y9" i="3"/>
  <c r="AB8" i="3"/>
  <c r="Y8" i="3"/>
  <c r="AB7" i="3"/>
  <c r="Y7" i="3"/>
  <c r="AD42" i="3" l="1"/>
  <c r="AD43" i="3"/>
  <c r="AC54" i="3" l="1"/>
  <c r="AE54" i="3" s="1"/>
  <c r="Z54" i="3"/>
  <c r="S54" i="3" l="1"/>
  <c r="AG54" i="3"/>
  <c r="T54" i="3" l="1"/>
  <c r="W54" i="3"/>
  <c r="V42" i="3"/>
  <c r="V43" i="3"/>
  <c r="AC43" i="3" l="1"/>
  <c r="AE43" i="3" s="1"/>
  <c r="AF43" i="3" s="1"/>
  <c r="AC42" i="3"/>
  <c r="AE42" i="3" s="1"/>
  <c r="AD54" i="3"/>
  <c r="AF54" i="3" s="1"/>
  <c r="AH54" i="3" s="1"/>
  <c r="AF42" i="3"/>
  <c r="AI54" i="3" l="1"/>
  <c r="AJ5" i="3"/>
  <c r="V14" i="3" l="1"/>
  <c r="V19" i="3"/>
  <c r="V20" i="3"/>
  <c r="V15" i="3"/>
  <c r="V22" i="3"/>
  <c r="V44" i="3"/>
  <c r="V27" i="3"/>
  <c r="V21" i="3"/>
  <c r="AC53" i="3"/>
  <c r="AE53" i="3" s="1"/>
  <c r="V8" i="3"/>
  <c r="V16" i="3"/>
  <c r="V23" i="3"/>
  <c r="V47" i="3"/>
  <c r="V13" i="3"/>
  <c r="V24" i="3"/>
  <c r="V28" i="3"/>
  <c r="V49" i="3"/>
  <c r="V9" i="3"/>
  <c r="AC50" i="3"/>
  <c r="AE50" i="3" s="1"/>
  <c r="V29" i="3"/>
  <c r="V17" i="3"/>
  <c r="V30" i="3"/>
  <c r="V45" i="3"/>
  <c r="AC55" i="3"/>
  <c r="AE55" i="3" s="1"/>
  <c r="V31" i="3"/>
  <c r="V25" i="3"/>
  <c r="V32" i="3"/>
  <c r="V33" i="3"/>
  <c r="V26" i="3"/>
  <c r="V34" i="3"/>
  <c r="V48" i="3"/>
  <c r="V46" i="3"/>
  <c r="V35" i="3"/>
  <c r="V36" i="3"/>
  <c r="V37" i="3"/>
  <c r="V51" i="3"/>
  <c r="V38" i="3"/>
  <c r="V18" i="3"/>
  <c r="V7" i="3"/>
  <c r="V12" i="3"/>
  <c r="R15" i="3"/>
  <c r="Z15" i="3" s="1"/>
  <c r="R22" i="3"/>
  <c r="Z22" i="3" s="1"/>
  <c r="Z44" i="3"/>
  <c r="R27" i="3"/>
  <c r="Z27" i="3" s="1"/>
  <c r="R21" i="3"/>
  <c r="Z21" i="3" s="1"/>
  <c r="Z53" i="3"/>
  <c r="Z8" i="3"/>
  <c r="R16" i="3"/>
  <c r="Z16" i="3" s="1"/>
  <c r="R23" i="3"/>
  <c r="Z23" i="3" s="1"/>
  <c r="Z47" i="3"/>
  <c r="R13" i="3"/>
  <c r="Z13" i="3" s="1"/>
  <c r="R24" i="3"/>
  <c r="Z24" i="3" s="1"/>
  <c r="R28" i="3"/>
  <c r="Z28" i="3" s="1"/>
  <c r="Z49" i="3"/>
  <c r="Z9" i="3"/>
  <c r="Z50" i="3"/>
  <c r="R29" i="3"/>
  <c r="Z29" i="3" s="1"/>
  <c r="R17" i="3"/>
  <c r="Z17" i="3" s="1"/>
  <c r="R30" i="3"/>
  <c r="Z30" i="3" s="1"/>
  <c r="Z45" i="3"/>
  <c r="Z55" i="3"/>
  <c r="R31" i="3"/>
  <c r="Z31" i="3" s="1"/>
  <c r="R25" i="3"/>
  <c r="Z25" i="3" s="1"/>
  <c r="R32" i="3"/>
  <c r="Z32" i="3" s="1"/>
  <c r="R33" i="3"/>
  <c r="Z33" i="3" s="1"/>
  <c r="R26" i="3"/>
  <c r="Z26" i="3" s="1"/>
  <c r="R34" i="3"/>
  <c r="Z34" i="3" s="1"/>
  <c r="Z48" i="3"/>
  <c r="Z46" i="3"/>
  <c r="R35" i="3"/>
  <c r="Z35" i="3" s="1"/>
  <c r="R36" i="3"/>
  <c r="Z36" i="3" s="1"/>
  <c r="R37" i="3"/>
  <c r="Z37" i="3" s="1"/>
  <c r="Z51" i="3"/>
  <c r="R38" i="3"/>
  <c r="Z38" i="3" s="1"/>
  <c r="R20" i="3"/>
  <c r="Z20" i="3" s="1"/>
  <c r="R19" i="3"/>
  <c r="Z19" i="3" s="1"/>
  <c r="R14" i="3"/>
  <c r="Z14" i="3" s="1"/>
  <c r="R18" i="3"/>
  <c r="Z18" i="3" s="1"/>
  <c r="R12" i="3"/>
  <c r="Z12" i="3" s="1"/>
  <c r="Z7" i="3"/>
  <c r="V10" i="3"/>
  <c r="R10" i="3"/>
  <c r="Z10" i="3" s="1"/>
  <c r="AC31" i="3" l="1"/>
  <c r="AE31" i="3" s="1"/>
  <c r="AC12" i="3"/>
  <c r="AE12" i="3" s="1"/>
  <c r="AC21" i="3"/>
  <c r="AE21" i="3" s="1"/>
  <c r="AC25" i="3"/>
  <c r="AE25" i="3" s="1"/>
  <c r="AC7" i="3"/>
  <c r="AE7" i="3" s="1"/>
  <c r="AC45" i="3"/>
  <c r="AE45" i="3" s="1"/>
  <c r="AC27" i="3"/>
  <c r="AE27" i="3" s="1"/>
  <c r="AC18" i="3"/>
  <c r="AE18" i="3" s="1"/>
  <c r="AC30" i="3"/>
  <c r="AE30" i="3" s="1"/>
  <c r="AC44" i="3"/>
  <c r="AE44" i="3" s="1"/>
  <c r="AC23" i="3"/>
  <c r="AE23" i="3" s="1"/>
  <c r="AC38" i="3"/>
  <c r="AE38" i="3" s="1"/>
  <c r="AC17" i="3"/>
  <c r="AE17" i="3" s="1"/>
  <c r="AC22" i="3"/>
  <c r="AE22" i="3" s="1"/>
  <c r="AC51" i="3"/>
  <c r="AE51" i="3" s="1"/>
  <c r="AC29" i="3"/>
  <c r="AE29" i="3" s="1"/>
  <c r="AC15" i="3"/>
  <c r="AE15" i="3" s="1"/>
  <c r="AC37" i="3"/>
  <c r="AE37" i="3" s="1"/>
  <c r="AC20" i="3"/>
  <c r="AE20" i="3" s="1"/>
  <c r="AC36" i="3"/>
  <c r="AE36" i="3" s="1"/>
  <c r="AC9" i="3"/>
  <c r="AE9" i="3" s="1"/>
  <c r="AC19" i="3"/>
  <c r="AE19" i="3" s="1"/>
  <c r="AC28" i="3"/>
  <c r="AE28" i="3" s="1"/>
  <c r="AC33" i="3"/>
  <c r="AE33" i="3" s="1"/>
  <c r="AC16" i="3"/>
  <c r="AE16" i="3" s="1"/>
  <c r="AC14" i="3"/>
  <c r="AE14" i="3" s="1"/>
  <c r="AC46" i="3"/>
  <c r="AE46" i="3" s="1"/>
  <c r="AC48" i="3"/>
  <c r="AE48" i="3" s="1"/>
  <c r="AC24" i="3"/>
  <c r="AE24" i="3" s="1"/>
  <c r="AC10" i="3"/>
  <c r="AE10" i="3" s="1"/>
  <c r="AC35" i="3"/>
  <c r="AE35" i="3" s="1"/>
  <c r="AC34" i="3"/>
  <c r="AE34" i="3" s="1"/>
  <c r="AC13" i="3"/>
  <c r="AE13" i="3" s="1"/>
  <c r="AC32" i="3"/>
  <c r="AE32" i="3" s="1"/>
  <c r="AC8" i="3"/>
  <c r="AE8" i="3" s="1"/>
  <c r="AC49" i="3"/>
  <c r="AE49" i="3" s="1"/>
  <c r="AC26" i="3"/>
  <c r="AE26" i="3" s="1"/>
  <c r="AC47" i="3"/>
  <c r="AE47" i="3" s="1"/>
  <c r="W20" i="3"/>
  <c r="AD20" i="3" s="1"/>
  <c r="W35" i="3"/>
  <c r="AD35" i="3" s="1"/>
  <c r="W15" i="3"/>
  <c r="AD15" i="3" s="1"/>
  <c r="W29" i="3"/>
  <c r="AD29" i="3" s="1"/>
  <c r="W13" i="3"/>
  <c r="AD13" i="3" s="1"/>
  <c r="W22" i="3"/>
  <c r="AD22" i="3" s="1"/>
  <c r="W37" i="3"/>
  <c r="AD37" i="3" s="1"/>
  <c r="W23" i="3"/>
  <c r="AD23" i="3" s="1"/>
  <c r="W32" i="3"/>
  <c r="AD32" i="3" s="1"/>
  <c r="W16" i="3"/>
  <c r="AD16" i="3" s="1"/>
  <c r="W38" i="3"/>
  <c r="AD38" i="3" s="1"/>
  <c r="W26" i="3"/>
  <c r="AD26" i="3" s="1"/>
  <c r="W30" i="3"/>
  <c r="AD30" i="3" s="1"/>
  <c r="W24" i="3"/>
  <c r="AD24" i="3" s="1"/>
  <c r="W36" i="3"/>
  <c r="AD36" i="3" s="1"/>
  <c r="W25" i="3"/>
  <c r="AD25" i="3" s="1"/>
  <c r="W18" i="3"/>
  <c r="AD18" i="3" s="1"/>
  <c r="W14" i="3"/>
  <c r="AD14" i="3" s="1"/>
  <c r="W21" i="3"/>
  <c r="AD21" i="3" s="1"/>
  <c r="W17" i="3"/>
  <c r="AD17" i="3" s="1"/>
  <c r="W28" i="3"/>
  <c r="AD28" i="3" s="1"/>
  <c r="W34" i="3"/>
  <c r="AD34" i="3" s="1"/>
  <c r="W33" i="3"/>
  <c r="AD33" i="3" s="1"/>
  <c r="W12" i="3"/>
  <c r="AD12" i="3" s="1"/>
  <c r="W31" i="3"/>
  <c r="AD31" i="3" s="1"/>
  <c r="W19" i="3"/>
  <c r="AD19" i="3" s="1"/>
  <c r="W27" i="3"/>
  <c r="AD27" i="3" s="1"/>
  <c r="S46" i="3"/>
  <c r="S9" i="3"/>
  <c r="S50" i="3"/>
  <c r="S49" i="3"/>
  <c r="S8" i="3"/>
  <c r="S53" i="3"/>
  <c r="S44" i="3"/>
  <c r="S51" i="3"/>
  <c r="S10" i="3"/>
  <c r="S48" i="3"/>
  <c r="S47" i="3"/>
  <c r="S7" i="3"/>
  <c r="S55" i="3"/>
  <c r="S45" i="3"/>
  <c r="AG7" i="3"/>
  <c r="S43" i="3"/>
  <c r="AH43" i="3" s="1"/>
  <c r="Z40" i="3"/>
  <c r="Z39" i="3"/>
  <c r="Z52" i="3"/>
  <c r="Z59" i="3"/>
  <c r="Z58" i="3"/>
  <c r="Z41" i="3"/>
  <c r="Z57" i="3"/>
  <c r="Z56" i="3"/>
  <c r="Z60" i="3"/>
  <c r="V40" i="3"/>
  <c r="V39" i="3"/>
  <c r="AC52" i="3"/>
  <c r="AE52" i="3" s="1"/>
  <c r="AC59" i="3"/>
  <c r="AE59" i="3" s="1"/>
  <c r="AC58" i="3"/>
  <c r="AE58" i="3" s="1"/>
  <c r="V41" i="3"/>
  <c r="AC57" i="3"/>
  <c r="AE57" i="3" s="1"/>
  <c r="AC56" i="3"/>
  <c r="AE56" i="3" s="1"/>
  <c r="AC60" i="3"/>
  <c r="AE60" i="3" s="1"/>
  <c r="AC41" i="3" l="1"/>
  <c r="AE41" i="3" s="1"/>
  <c r="AC39" i="3"/>
  <c r="AE39" i="3" s="1"/>
  <c r="AC40" i="3"/>
  <c r="AE40" i="3" s="1"/>
  <c r="AF19" i="3"/>
  <c r="AF16" i="3"/>
  <c r="AF30" i="3"/>
  <c r="AF29" i="3"/>
  <c r="AF13" i="3"/>
  <c r="AF14" i="3"/>
  <c r="AF26" i="3"/>
  <c r="AF17" i="3"/>
  <c r="AF28" i="3"/>
  <c r="W7" i="3"/>
  <c r="W8" i="3"/>
  <c r="AF25" i="3"/>
  <c r="W47" i="3"/>
  <c r="W50" i="3"/>
  <c r="AF22" i="3"/>
  <c r="AF23" i="3"/>
  <c r="AF33" i="3"/>
  <c r="W48" i="3"/>
  <c r="W9" i="3"/>
  <c r="AF38" i="3"/>
  <c r="W41" i="3"/>
  <c r="AD41" i="3" s="1"/>
  <c r="AF34" i="3"/>
  <c r="W10" i="3"/>
  <c r="W46" i="3"/>
  <c r="AF20" i="3"/>
  <c r="AF37" i="3"/>
  <c r="AF24" i="3"/>
  <c r="W51" i="3"/>
  <c r="W49" i="3"/>
  <c r="AF15" i="3"/>
  <c r="AF18" i="3"/>
  <c r="AF27" i="3"/>
  <c r="W44" i="3"/>
  <c r="W55" i="3"/>
  <c r="AF32" i="3"/>
  <c r="W39" i="3"/>
  <c r="AD39" i="3" s="1"/>
  <c r="AF36" i="3"/>
  <c r="AF12" i="3"/>
  <c r="W45" i="3"/>
  <c r="W53" i="3"/>
  <c r="AF35" i="3"/>
  <c r="W40" i="3"/>
  <c r="AD40" i="3" s="1"/>
  <c r="AF31" i="3"/>
  <c r="AF21" i="3"/>
  <c r="S56" i="3"/>
  <c r="S57" i="3"/>
  <c r="S58" i="3"/>
  <c r="S60" i="3"/>
  <c r="S59" i="3"/>
  <c r="S52" i="3"/>
  <c r="S42" i="3"/>
  <c r="AH42" i="3" s="1"/>
  <c r="AG12" i="3"/>
  <c r="AD47" i="3" l="1"/>
  <c r="AF47" i="3" s="1"/>
  <c r="AH47" i="3" s="1"/>
  <c r="AD50" i="3"/>
  <c r="AF50" i="3" s="1"/>
  <c r="AH50" i="3" s="1"/>
  <c r="AD7" i="3"/>
  <c r="AF7" i="3" s="1"/>
  <c r="AH7" i="3" s="1"/>
  <c r="AD49" i="3"/>
  <c r="AF49" i="3" s="1"/>
  <c r="AH49" i="3" s="1"/>
  <c r="AD53" i="3"/>
  <c r="AF53" i="3" s="1"/>
  <c r="AH53" i="3" s="1"/>
  <c r="AD46" i="3"/>
  <c r="AF46" i="3" s="1"/>
  <c r="AH46" i="3" s="1"/>
  <c r="AD8" i="3"/>
  <c r="AF8" i="3" s="1"/>
  <c r="AH8" i="3" s="1"/>
  <c r="AD10" i="3"/>
  <c r="AF10" i="3" s="1"/>
  <c r="AH10" i="3" s="1"/>
  <c r="AD51" i="3"/>
  <c r="AF51" i="3" s="1"/>
  <c r="AH51" i="3" s="1"/>
  <c r="AD45" i="3"/>
  <c r="AF45" i="3" s="1"/>
  <c r="AH45" i="3" s="1"/>
  <c r="AD9" i="3"/>
  <c r="AF9" i="3" s="1"/>
  <c r="AH9" i="3" s="1"/>
  <c r="AD55" i="3"/>
  <c r="AF55" i="3" s="1"/>
  <c r="AH55" i="3" s="1"/>
  <c r="AD48" i="3"/>
  <c r="AF48" i="3" s="1"/>
  <c r="AH48" i="3" s="1"/>
  <c r="AD44" i="3"/>
  <c r="AF44" i="3" s="1"/>
  <c r="AH44" i="3" s="1"/>
  <c r="W60" i="3"/>
  <c r="AF41" i="3"/>
  <c r="AF40" i="3"/>
  <c r="W52" i="3"/>
  <c r="W57" i="3"/>
  <c r="W59" i="3"/>
  <c r="W56" i="3"/>
  <c r="W58" i="3"/>
  <c r="AF39" i="3"/>
  <c r="AG13" i="3"/>
  <c r="AG14" i="3"/>
  <c r="AG15" i="3"/>
  <c r="AG17" i="3"/>
  <c r="AG20" i="3"/>
  <c r="AG33" i="3"/>
  <c r="AG18" i="3"/>
  <c r="AG32" i="3"/>
  <c r="AG34" i="3"/>
  <c r="AG26" i="3"/>
  <c r="AG22" i="3"/>
  <c r="AG16" i="3"/>
  <c r="AG31" i="3"/>
  <c r="AG37" i="3"/>
  <c r="AG23" i="3"/>
  <c r="AG25" i="3"/>
  <c r="AG21" i="3"/>
  <c r="AG28" i="3"/>
  <c r="AG29" i="3"/>
  <c r="AG27" i="3"/>
  <c r="AG30" i="3"/>
  <c r="AG19" i="3"/>
  <c r="AG24" i="3"/>
  <c r="AG38" i="3"/>
  <c r="AG35" i="3"/>
  <c r="AG36" i="3"/>
  <c r="AG40" i="3"/>
  <c r="AG39" i="3"/>
  <c r="AG52" i="3"/>
  <c r="AG59" i="3"/>
  <c r="AG58" i="3"/>
  <c r="AG41" i="3"/>
  <c r="AG57" i="3"/>
  <c r="AG56" i="3"/>
  <c r="AG60" i="3"/>
  <c r="AG10" i="3"/>
  <c r="AG8" i="3"/>
  <c r="AG9" i="3"/>
  <c r="AG55" i="3"/>
  <c r="AG45" i="3"/>
  <c r="AG50" i="3"/>
  <c r="AG49" i="3"/>
  <c r="AG47" i="3"/>
  <c r="AG51" i="3"/>
  <c r="AG44" i="3"/>
  <c r="AG48" i="3"/>
  <c r="AG46" i="3"/>
  <c r="AG53" i="3"/>
  <c r="AG43" i="3"/>
  <c r="AD60" i="3" l="1"/>
  <c r="AF60" i="3" s="1"/>
  <c r="AH60" i="3" s="1"/>
  <c r="AD56" i="3"/>
  <c r="AF56" i="3" s="1"/>
  <c r="AH56" i="3" s="1"/>
  <c r="AD59" i="3"/>
  <c r="AF59" i="3" s="1"/>
  <c r="AH59" i="3" s="1"/>
  <c r="AD57" i="3"/>
  <c r="AF57" i="3" s="1"/>
  <c r="AH57" i="3" s="1"/>
  <c r="AD52" i="3"/>
  <c r="AF52" i="3" s="1"/>
  <c r="AH52" i="3" s="1"/>
  <c r="AD58" i="3"/>
  <c r="AF58" i="3" s="1"/>
  <c r="AH58" i="3" s="1"/>
  <c r="AG42" i="3"/>
  <c r="AR2" i="7" l="1"/>
  <c r="AP2" i="7"/>
  <c r="AS3" i="7" s="1"/>
  <c r="AU3" i="7" s="1"/>
  <c r="AV3" i="7" s="1"/>
  <c r="P42" i="7" l="1"/>
  <c r="P43" i="7"/>
  <c r="P45" i="7"/>
  <c r="P46" i="7"/>
  <c r="P58" i="7"/>
  <c r="P56" i="7"/>
  <c r="P57" i="7"/>
  <c r="P59" i="7"/>
  <c r="P53" i="7"/>
  <c r="P49" i="7"/>
  <c r="P50" i="7"/>
  <c r="P51" i="7"/>
  <c r="P52" i="7"/>
  <c r="P60" i="7"/>
  <c r="P4" i="7"/>
  <c r="P5" i="7"/>
  <c r="P6" i="7"/>
  <c r="P7" i="7"/>
  <c r="P8" i="7"/>
  <c r="P9" i="7"/>
  <c r="P10" i="7"/>
  <c r="P11" i="7"/>
  <c r="P12" i="7"/>
  <c r="P13" i="7"/>
  <c r="P14" i="7"/>
  <c r="P15" i="7"/>
  <c r="P54" i="7"/>
  <c r="P55" i="7"/>
  <c r="P47" i="7"/>
  <c r="P48" i="7"/>
  <c r="P17" i="7"/>
  <c r="P64" i="7"/>
  <c r="P18" i="7"/>
  <c r="AK18" i="7"/>
  <c r="AL18" i="7" s="1"/>
  <c r="AM18" i="7" s="1"/>
  <c r="AK64" i="7"/>
  <c r="AL64" i="7" s="1"/>
  <c r="AM64" i="7" s="1"/>
  <c r="AK17" i="7"/>
  <c r="AL17" i="7" s="1"/>
  <c r="AM17" i="7" s="1"/>
  <c r="AK48" i="7"/>
  <c r="AL48" i="7" s="1"/>
  <c r="AM48" i="7" s="1"/>
  <c r="AK47" i="7"/>
  <c r="AL47" i="7" s="1"/>
  <c r="AM47" i="7" s="1"/>
  <c r="AM55" i="7"/>
  <c r="AK55" i="7"/>
  <c r="AM54" i="7"/>
  <c r="AK54" i="7"/>
  <c r="AL62" i="7"/>
  <c r="AM62" i="7" s="1"/>
  <c r="AL61" i="7"/>
  <c r="AM61" i="7" s="1"/>
  <c r="AK15" i="7"/>
  <c r="AL15" i="7" s="1"/>
  <c r="AM15" i="7" s="1"/>
  <c r="AK14" i="7"/>
  <c r="AL14" i="7" s="1"/>
  <c r="AM14" i="7" s="1"/>
  <c r="AK13" i="7"/>
  <c r="AL13" i="7" s="1"/>
  <c r="AM13" i="7" s="1"/>
  <c r="AK12" i="7"/>
  <c r="AL12" i="7" s="1"/>
  <c r="AM12" i="7" s="1"/>
  <c r="AK11" i="7"/>
  <c r="AL11" i="7" s="1"/>
  <c r="AM11" i="7" s="1"/>
  <c r="AK10" i="7"/>
  <c r="AL10" i="7" s="1"/>
  <c r="AM10" i="7" s="1"/>
  <c r="AK9" i="7"/>
  <c r="AL9" i="7" s="1"/>
  <c r="AM9" i="7" s="1"/>
  <c r="AK8" i="7"/>
  <c r="AL8" i="7" s="1"/>
  <c r="AM8" i="7" s="1"/>
  <c r="AK7" i="7"/>
  <c r="AL7" i="7" s="1"/>
  <c r="AM7" i="7" s="1"/>
  <c r="AK6" i="7"/>
  <c r="AL6" i="7" s="1"/>
  <c r="AM6" i="7" s="1"/>
  <c r="AK5" i="7"/>
  <c r="AL5" i="7" s="1"/>
  <c r="AM5" i="7" s="1"/>
  <c r="AK4" i="7"/>
  <c r="AL4" i="7" s="1"/>
  <c r="AM4" i="7" s="1"/>
  <c r="AK60" i="7"/>
  <c r="AL60" i="7" s="1"/>
  <c r="AM60" i="7" s="1"/>
  <c r="AM52" i="7"/>
  <c r="AK52" i="7"/>
  <c r="AM51" i="7"/>
  <c r="AK51" i="7"/>
  <c r="AM50" i="7"/>
  <c r="AK50" i="7"/>
  <c r="AM49" i="7"/>
  <c r="AK49" i="7"/>
  <c r="AK53" i="7"/>
  <c r="AL53" i="7" s="1"/>
  <c r="AM53" i="7" s="1"/>
  <c r="AL63" i="7"/>
  <c r="AM63" i="7" s="1"/>
  <c r="AL59" i="7"/>
  <c r="AM59" i="7" s="1"/>
  <c r="AK57" i="7"/>
  <c r="AL57" i="7" s="1"/>
  <c r="AM57" i="7" s="1"/>
  <c r="AK56" i="7"/>
  <c r="AL56" i="7" s="1"/>
  <c r="AM56" i="7" s="1"/>
  <c r="AL58" i="7"/>
  <c r="AM58" i="7" s="1"/>
  <c r="AK44" i="7"/>
  <c r="AL44" i="7" s="1"/>
  <c r="AM44" i="7" s="1"/>
  <c r="AK46" i="7"/>
  <c r="AL46" i="7" s="1"/>
  <c r="AM46" i="7" s="1"/>
  <c r="AK45" i="7"/>
  <c r="AL45" i="7" s="1"/>
  <c r="AM45" i="7" s="1"/>
  <c r="AK43" i="7"/>
  <c r="AL43" i="7" s="1"/>
  <c r="AM43" i="7" s="1"/>
  <c r="AK42" i="7"/>
  <c r="AL42" i="7" s="1"/>
  <c r="AM42" i="7" s="1"/>
  <c r="AL41" i="7"/>
  <c r="AM41" i="7" s="1"/>
  <c r="AL40" i="7"/>
  <c r="AM40" i="7" s="1"/>
  <c r="AL39" i="7"/>
  <c r="AM39" i="7" s="1"/>
  <c r="AL38" i="7"/>
  <c r="AM38" i="7" s="1"/>
  <c r="AL37" i="7"/>
  <c r="AM37" i="7" s="1"/>
  <c r="AL36" i="7"/>
  <c r="AM36" i="7" s="1"/>
  <c r="AL35" i="7"/>
  <c r="AM35" i="7" s="1"/>
  <c r="AL34" i="7"/>
  <c r="AM34" i="7" s="1"/>
  <c r="AL33" i="7"/>
  <c r="AM33" i="7" s="1"/>
  <c r="AL32" i="7"/>
  <c r="AM32" i="7" s="1"/>
  <c r="AL31" i="7"/>
  <c r="AM31" i="7" s="1"/>
  <c r="AL30" i="7"/>
  <c r="AM30" i="7" s="1"/>
  <c r="AL29" i="7"/>
  <c r="AM29" i="7" s="1"/>
  <c r="AL28" i="7"/>
  <c r="AM28" i="7" s="1"/>
  <c r="AL27" i="7"/>
  <c r="AM27" i="7" s="1"/>
  <c r="AL26" i="7"/>
  <c r="AM26" i="7" s="1"/>
  <c r="AL25" i="7"/>
  <c r="AM25" i="7" s="1"/>
  <c r="AL24" i="7"/>
  <c r="AM24" i="7" s="1"/>
  <c r="AL23" i="7"/>
  <c r="AM23" i="7" s="1"/>
  <c r="AL21" i="7"/>
  <c r="AM21" i="7" s="1"/>
  <c r="AL20" i="7"/>
  <c r="AM20" i="7" s="1"/>
  <c r="AL22" i="7"/>
  <c r="AM22" i="7" s="1"/>
  <c r="AL19" i="7"/>
  <c r="AM19" i="7" s="1"/>
  <c r="AL16" i="7"/>
  <c r="AM16" i="7" s="1"/>
  <c r="R57" i="7" l="1"/>
  <c r="R44" i="7"/>
  <c r="R15" i="7"/>
  <c r="S15" i="7" s="1"/>
  <c r="T15" i="7" s="1"/>
  <c r="J15" i="7"/>
  <c r="S16" i="7"/>
  <c r="T16" i="7" s="1"/>
  <c r="J16" i="7"/>
  <c r="I16" i="7"/>
  <c r="R18" i="7"/>
  <c r="S18" i="7" s="1"/>
  <c r="T18" i="7" s="1"/>
  <c r="J18" i="7"/>
  <c r="R17" i="7"/>
  <c r="S17" i="7" s="1"/>
  <c r="T17" i="7" s="1"/>
  <c r="J17" i="7"/>
  <c r="I17" i="7"/>
  <c r="R14" i="7"/>
  <c r="S14" i="7" s="1"/>
  <c r="T14" i="7" s="1"/>
  <c r="J14" i="7"/>
  <c r="R13" i="7"/>
  <c r="S13" i="7" s="1"/>
  <c r="T13" i="7" s="1"/>
  <c r="J13" i="7"/>
  <c r="R12" i="7"/>
  <c r="S12" i="7" s="1"/>
  <c r="T12" i="7" s="1"/>
  <c r="J12" i="7"/>
  <c r="R11" i="7"/>
  <c r="S11" i="7" s="1"/>
  <c r="T11" i="7" s="1"/>
  <c r="J11" i="7"/>
  <c r="R10" i="7"/>
  <c r="S10" i="7" s="1"/>
  <c r="T10" i="7" s="1"/>
  <c r="J10" i="7"/>
  <c r="R9" i="7"/>
  <c r="S9" i="7" s="1"/>
  <c r="T9" i="7" s="1"/>
  <c r="J9" i="7"/>
  <c r="R8" i="7"/>
  <c r="S8" i="7" s="1"/>
  <c r="T8" i="7" s="1"/>
  <c r="J8" i="7"/>
  <c r="I8" i="7"/>
  <c r="R7" i="7"/>
  <c r="S7" i="7" s="1"/>
  <c r="T7" i="7" s="1"/>
  <c r="J7" i="7"/>
  <c r="R6" i="7"/>
  <c r="S6" i="7" s="1"/>
  <c r="T6" i="7" s="1"/>
  <c r="J6" i="7"/>
  <c r="R5" i="7"/>
  <c r="S5" i="7" s="1"/>
  <c r="T5" i="7" s="1"/>
  <c r="J5" i="7"/>
  <c r="R4" i="7"/>
  <c r="S4" i="7" s="1"/>
  <c r="T4" i="7" s="1"/>
  <c r="J4" i="7"/>
  <c r="R48" i="7"/>
  <c r="S48" i="7" s="1"/>
  <c r="T48" i="7" s="1"/>
  <c r="J48" i="7"/>
  <c r="R47" i="7"/>
  <c r="S47" i="7" s="1"/>
  <c r="T47" i="7" s="1"/>
  <c r="J47" i="7"/>
  <c r="R64" i="7"/>
  <c r="S64" i="7" s="1"/>
  <c r="T64" i="7" s="1"/>
  <c r="J64" i="7"/>
  <c r="I64" i="7"/>
  <c r="J62" i="7"/>
  <c r="K62" i="7" s="1"/>
  <c r="L62" i="7" s="1"/>
  <c r="J61" i="7"/>
  <c r="K61" i="7" s="1"/>
  <c r="L61" i="7" s="1"/>
  <c r="J63" i="7"/>
  <c r="K63" i="7" s="1"/>
  <c r="L63" i="7" s="1"/>
  <c r="J41" i="7"/>
  <c r="K41" i="7" s="1"/>
  <c r="L41" i="7" s="1"/>
  <c r="J40" i="7"/>
  <c r="K40" i="7" s="1"/>
  <c r="L40" i="7" s="1"/>
  <c r="J23" i="7"/>
  <c r="K23" i="7" s="1"/>
  <c r="L23" i="7" s="1"/>
  <c r="J39" i="7"/>
  <c r="K39" i="7" s="1"/>
  <c r="L39" i="7" s="1"/>
  <c r="J38" i="7"/>
  <c r="K38" i="7" s="1"/>
  <c r="L38" i="7" s="1"/>
  <c r="J37" i="7"/>
  <c r="K37" i="7" s="1"/>
  <c r="L37" i="7" s="1"/>
  <c r="J36" i="7"/>
  <c r="K36" i="7" s="1"/>
  <c r="L36" i="7" s="1"/>
  <c r="J35" i="7"/>
  <c r="K35" i="7" s="1"/>
  <c r="L35" i="7" s="1"/>
  <c r="J34" i="7"/>
  <c r="K34" i="7" s="1"/>
  <c r="L34" i="7" s="1"/>
  <c r="J33" i="7"/>
  <c r="K33" i="7" s="1"/>
  <c r="L33" i="7" s="1"/>
  <c r="J32" i="7"/>
  <c r="K32" i="7" s="1"/>
  <c r="L32" i="7" s="1"/>
  <c r="J31" i="7"/>
  <c r="K31" i="7" s="1"/>
  <c r="L31" i="7" s="1"/>
  <c r="J30" i="7"/>
  <c r="K30" i="7" s="1"/>
  <c r="L30" i="7" s="1"/>
  <c r="J29" i="7"/>
  <c r="K29" i="7" s="1"/>
  <c r="L29" i="7" s="1"/>
  <c r="T55" i="7"/>
  <c r="R55" i="7"/>
  <c r="J55" i="7"/>
  <c r="T54" i="7"/>
  <c r="R54" i="7"/>
  <c r="J54" i="7"/>
  <c r="R60" i="7"/>
  <c r="S60" i="7" s="1"/>
  <c r="T60" i="7" s="1"/>
  <c r="J60" i="7"/>
  <c r="S59" i="7"/>
  <c r="T59" i="7" s="1"/>
  <c r="J59" i="7"/>
  <c r="J28" i="7"/>
  <c r="K28" i="7" s="1"/>
  <c r="L28" i="7" s="1"/>
  <c r="J27" i="7"/>
  <c r="K27" i="7" s="1"/>
  <c r="L27" i="7" s="1"/>
  <c r="J26" i="7"/>
  <c r="K26" i="7" s="1"/>
  <c r="L26" i="7" s="1"/>
  <c r="J25" i="7"/>
  <c r="K25" i="7" s="1"/>
  <c r="L25" i="7" s="1"/>
  <c r="J24" i="7"/>
  <c r="K24" i="7" s="1"/>
  <c r="L24" i="7" s="1"/>
  <c r="J21" i="7"/>
  <c r="K21" i="7" s="1"/>
  <c r="L21" i="7" s="1"/>
  <c r="J20" i="7"/>
  <c r="K20" i="7" s="1"/>
  <c r="L20" i="7" s="1"/>
  <c r="J19" i="7"/>
  <c r="K19" i="7" s="1"/>
  <c r="L19" i="7" s="1"/>
  <c r="J22" i="7"/>
  <c r="K22" i="7" s="1"/>
  <c r="L22" i="7" s="1"/>
  <c r="S57" i="7"/>
  <c r="T57" i="7" s="1"/>
  <c r="J57" i="7"/>
  <c r="T52" i="7"/>
  <c r="R52" i="7"/>
  <c r="J52" i="7"/>
  <c r="I52" i="7"/>
  <c r="T51" i="7"/>
  <c r="R51" i="7"/>
  <c r="J51" i="7"/>
  <c r="T50" i="7"/>
  <c r="R50" i="7"/>
  <c r="J50" i="7"/>
  <c r="T49" i="7"/>
  <c r="R49" i="7"/>
  <c r="J49" i="7"/>
  <c r="R53" i="7"/>
  <c r="S53" i="7" s="1"/>
  <c r="T53" i="7" s="1"/>
  <c r="J53" i="7"/>
  <c r="S58" i="7"/>
  <c r="T58" i="7" s="1"/>
  <c r="J58" i="7"/>
  <c r="J44" i="7"/>
  <c r="K44" i="7" s="1"/>
  <c r="L44" i="7" s="1"/>
  <c r="R56" i="7"/>
  <c r="S56" i="7" s="1"/>
  <c r="T56" i="7" s="1"/>
  <c r="J56" i="7"/>
  <c r="I56" i="7"/>
  <c r="R46" i="7"/>
  <c r="S46" i="7" s="1"/>
  <c r="T46" i="7" s="1"/>
  <c r="J46" i="7"/>
  <c r="R45" i="7"/>
  <c r="S45" i="7" s="1"/>
  <c r="T45" i="7" s="1"/>
  <c r="J45" i="7"/>
  <c r="R43" i="7"/>
  <c r="S43" i="7" s="1"/>
  <c r="T43" i="7" s="1"/>
  <c r="J43" i="7"/>
  <c r="R42" i="7"/>
  <c r="S42" i="7" s="1"/>
  <c r="T42" i="7" s="1"/>
  <c r="J42" i="7"/>
  <c r="I11" i="7" l="1"/>
  <c r="I14" i="7"/>
  <c r="I19" i="7" l="1"/>
  <c r="I55" i="7"/>
  <c r="I30" i="7"/>
  <c r="I25" i="7"/>
  <c r="I45" i="7"/>
  <c r="I63" i="7"/>
  <c r="I54" i="7"/>
  <c r="I59" i="7"/>
  <c r="I20" i="7"/>
  <c r="I13" i="7"/>
  <c r="I44" i="7"/>
  <c r="I62" i="7"/>
  <c r="I53" i="7"/>
  <c r="I5" i="7"/>
  <c r="I57" i="7"/>
  <c r="I18" i="7"/>
  <c r="I12" i="7"/>
  <c r="I39" i="7"/>
  <c r="I61" i="7"/>
  <c r="I31" i="7"/>
  <c r="I58" i="7"/>
  <c r="I43" i="7"/>
  <c r="I23" i="7"/>
  <c r="I47" i="7"/>
  <c r="I42" i="7"/>
  <c r="I36" i="7"/>
  <c r="I28" i="7"/>
  <c r="I15" i="7"/>
  <c r="I51" i="7"/>
  <c r="I7" i="7"/>
  <c r="I35" i="7"/>
  <c r="I4" i="7"/>
  <c r="I29" i="7"/>
  <c r="I27" i="7"/>
  <c r="I10" i="7"/>
  <c r="I32" i="7"/>
  <c r="I22" i="7"/>
  <c r="I37" i="7"/>
  <c r="I46" i="7"/>
  <c r="I9" i="7"/>
  <c r="I6" i="7"/>
  <c r="I24" i="7"/>
  <c r="I34" i="7"/>
  <c r="I40" i="7"/>
  <c r="I26" i="7"/>
  <c r="I41" i="7"/>
  <c r="I21" i="7"/>
  <c r="I38" i="7"/>
  <c r="I33" i="7"/>
  <c r="I60" i="7"/>
  <c r="I50" i="7"/>
  <c r="I49" i="7"/>
  <c r="I48" i="7"/>
  <c r="AI10" i="3" l="1"/>
  <c r="T10" i="3"/>
  <c r="AI60" i="3"/>
  <c r="T60" i="3"/>
  <c r="T8" i="3" l="1"/>
  <c r="AI42" i="3"/>
  <c r="AI8" i="3"/>
  <c r="T42" i="3"/>
  <c r="AI45" i="3"/>
  <c r="T45" i="3"/>
  <c r="AI46" i="3"/>
  <c r="T46" i="3"/>
  <c r="AI52" i="3"/>
  <c r="T52" i="3"/>
  <c r="AI9" i="3"/>
  <c r="T9" i="3"/>
  <c r="AI47" i="3"/>
  <c r="T47" i="3"/>
  <c r="AI49" i="3"/>
  <c r="T49" i="3"/>
  <c r="AI48" i="3"/>
  <c r="T48" i="3"/>
  <c r="AI7" i="3"/>
  <c r="T7" i="3"/>
  <c r="AI57" i="3"/>
  <c r="T57" i="3"/>
  <c r="AI44" i="3"/>
  <c r="T44" i="3"/>
  <c r="AI55" i="3"/>
  <c r="T55" i="3"/>
  <c r="AI56" i="3"/>
  <c r="T56" i="3"/>
  <c r="AI53" i="3"/>
  <c r="T53" i="3"/>
  <c r="AI51" i="3"/>
  <c r="T51" i="3"/>
  <c r="AI43" i="3"/>
  <c r="T43" i="3"/>
  <c r="AI58" i="3"/>
  <c r="T58" i="3"/>
  <c r="AI50" i="3"/>
  <c r="T50" i="3"/>
  <c r="AI59" i="3"/>
  <c r="T59" i="3"/>
  <c r="P21" i="7" l="1"/>
  <c r="S21" i="7" s="1"/>
  <c r="T21" i="7" s="1"/>
  <c r="P26" i="7" l="1"/>
  <c r="S26" i="7" s="1"/>
  <c r="T26" i="7" s="1"/>
  <c r="P40" i="7"/>
  <c r="S40" i="7" s="1"/>
  <c r="T40" i="7" s="1"/>
  <c r="P32" i="7"/>
  <c r="S32" i="7" s="1"/>
  <c r="T32" i="7" s="1"/>
  <c r="P38" i="7"/>
  <c r="S38" i="7" s="1"/>
  <c r="T38" i="7" s="1"/>
  <c r="P34" i="7"/>
  <c r="S34" i="7" s="1"/>
  <c r="T34" i="7" s="1"/>
  <c r="P36" i="7"/>
  <c r="S36" i="7" s="1"/>
  <c r="T36" i="7" s="1"/>
  <c r="P37" i="7"/>
  <c r="S37" i="7" s="1"/>
  <c r="T37" i="7" s="1"/>
  <c r="P41" i="7"/>
  <c r="S41" i="7" s="1"/>
  <c r="T41" i="7" s="1"/>
  <c r="P31" i="7"/>
  <c r="S31" i="7" s="1"/>
  <c r="T31" i="7" s="1"/>
  <c r="P25" i="7"/>
  <c r="S25" i="7" s="1"/>
  <c r="T25" i="7" s="1"/>
  <c r="P61" i="7"/>
  <c r="S61" i="7" s="1"/>
  <c r="T61" i="7" s="1"/>
  <c r="P39" i="7"/>
  <c r="S39" i="7" s="1"/>
  <c r="T39" i="7" s="1"/>
  <c r="P62" i="7"/>
  <c r="S62" i="7" s="1"/>
  <c r="T62" i="7" s="1"/>
  <c r="P27" i="7"/>
  <c r="S27" i="7" s="1"/>
  <c r="T27" i="7" s="1"/>
  <c r="P35" i="7"/>
  <c r="S35" i="7" s="1"/>
  <c r="T35" i="7" s="1"/>
  <c r="P20" i="7"/>
  <c r="S20" i="7" s="1"/>
  <c r="T20" i="7" s="1"/>
  <c r="P63" i="7"/>
  <c r="S63" i="7" s="1"/>
  <c r="T63" i="7" s="1"/>
  <c r="P24" i="7"/>
  <c r="S24" i="7" s="1"/>
  <c r="T24" i="7" s="1"/>
  <c r="P29" i="7"/>
  <c r="S29" i="7" s="1"/>
  <c r="T29" i="7" s="1"/>
  <c r="P33" i="7"/>
  <c r="S33" i="7" s="1"/>
  <c r="T33" i="7" s="1"/>
  <c r="P44" i="7"/>
  <c r="S44" i="7" s="1"/>
  <c r="T44" i="7" s="1"/>
  <c r="P22" i="7" l="1"/>
  <c r="S22" i="7" s="1"/>
  <c r="T22" i="7" s="1"/>
  <c r="P30" i="7"/>
  <c r="S30" i="7" s="1"/>
  <c r="T30" i="7" s="1"/>
  <c r="P23" i="7"/>
  <c r="S23" i="7" s="1"/>
  <c r="T23" i="7" s="1"/>
  <c r="P19" i="7"/>
  <c r="S19" i="7" s="1"/>
  <c r="T19" i="7" s="1"/>
  <c r="P28" i="7"/>
  <c r="S28" i="7" s="1"/>
  <c r="T28" i="7" s="1"/>
  <c r="S39" i="3" l="1"/>
  <c r="AH39" i="3" s="1"/>
  <c r="S41" i="3"/>
  <c r="AH41" i="3" s="1"/>
  <c r="S40" i="3"/>
  <c r="AH40" i="3" s="1"/>
  <c r="K18" i="3" l="1"/>
  <c r="S18" i="3"/>
  <c r="AH18" i="3" s="1"/>
  <c r="K16" i="3"/>
  <c r="S16" i="3"/>
  <c r="AH16" i="3" s="1"/>
  <c r="K32" i="3"/>
  <c r="S32" i="3"/>
  <c r="AH32" i="3" s="1"/>
  <c r="K19" i="3"/>
  <c r="S19" i="3"/>
  <c r="AH19" i="3" s="1"/>
  <c r="K21" i="3"/>
  <c r="S21" i="3"/>
  <c r="AH21" i="3" s="1"/>
  <c r="K23" i="3"/>
  <c r="S23" i="3"/>
  <c r="AH23" i="3" s="1"/>
  <c r="K15" i="3"/>
  <c r="S15" i="3"/>
  <c r="AH15" i="3" s="1"/>
  <c r="K35" i="3"/>
  <c r="S35" i="3"/>
  <c r="AH35" i="3" s="1"/>
  <c r="K24" i="3"/>
  <c r="S24" i="3"/>
  <c r="AH24" i="3" s="1"/>
  <c r="K29" i="3"/>
  <c r="S29" i="3"/>
  <c r="AH29" i="3" s="1"/>
  <c r="K37" i="3"/>
  <c r="S37" i="3"/>
  <c r="AH37" i="3" s="1"/>
  <c r="AI40" i="3"/>
  <c r="T40" i="3"/>
  <c r="K27" i="3"/>
  <c r="S27" i="3"/>
  <c r="AH27" i="3" s="1"/>
  <c r="K14" i="3"/>
  <c r="S14" i="3"/>
  <c r="AH14" i="3" s="1"/>
  <c r="K33" i="3"/>
  <c r="S33" i="3"/>
  <c r="AH33" i="3" s="1"/>
  <c r="K36" i="3"/>
  <c r="S36" i="3"/>
  <c r="AH36" i="3" s="1"/>
  <c r="K17" i="3"/>
  <c r="S17" i="3"/>
  <c r="AH17" i="3" s="1"/>
  <c r="AI41" i="3"/>
  <c r="T41" i="3"/>
  <c r="K20" i="3"/>
  <c r="S20" i="3"/>
  <c r="AH20" i="3" s="1"/>
  <c r="K26" i="3"/>
  <c r="S26" i="3"/>
  <c r="AH26" i="3" s="1"/>
  <c r="K22" i="3"/>
  <c r="S22" i="3"/>
  <c r="AH22" i="3" s="1"/>
  <c r="K34" i="3"/>
  <c r="S34" i="3"/>
  <c r="AH34" i="3" s="1"/>
  <c r="K25" i="3"/>
  <c r="S25" i="3"/>
  <c r="AH25" i="3" s="1"/>
  <c r="K28" i="3"/>
  <c r="S28" i="3"/>
  <c r="AH28" i="3" s="1"/>
  <c r="AI39" i="3"/>
  <c r="T39" i="3"/>
  <c r="K30" i="3"/>
  <c r="S30" i="3"/>
  <c r="AH30" i="3" s="1"/>
  <c r="K31" i="3"/>
  <c r="S31" i="3"/>
  <c r="AH31" i="3" s="1"/>
  <c r="K38" i="3"/>
  <c r="S38" i="3"/>
  <c r="AH38" i="3" s="1"/>
  <c r="K13" i="3"/>
  <c r="S13" i="3"/>
  <c r="AH13" i="3" s="1"/>
  <c r="K12" i="3"/>
  <c r="S12" i="3"/>
  <c r="AH12" i="3" s="1"/>
  <c r="N11" i="3" l="1"/>
  <c r="S11" i="3" s="1"/>
  <c r="AI15" i="3"/>
  <c r="T15" i="3"/>
  <c r="AI36" i="3"/>
  <c r="T36" i="3"/>
  <c r="AI23" i="3"/>
  <c r="T23" i="3"/>
  <c r="T28" i="3"/>
  <c r="AI28" i="3"/>
  <c r="AI34" i="3"/>
  <c r="T34" i="3"/>
  <c r="T14" i="3"/>
  <c r="AI14" i="3"/>
  <c r="AI13" i="3"/>
  <c r="T13" i="3"/>
  <c r="AI27" i="3"/>
  <c r="T27" i="3"/>
  <c r="AI21" i="3"/>
  <c r="T21" i="3"/>
  <c r="AI22" i="3"/>
  <c r="T22" i="3"/>
  <c r="T33" i="3"/>
  <c r="AI33" i="3"/>
  <c r="T38" i="3"/>
  <c r="AI38" i="3"/>
  <c r="T26" i="3"/>
  <c r="AI26" i="3"/>
  <c r="AI19" i="3"/>
  <c r="T19" i="3"/>
  <c r="AI29" i="3"/>
  <c r="T29" i="3"/>
  <c r="AI16" i="3"/>
  <c r="T16" i="3"/>
  <c r="T25" i="3"/>
  <c r="AI25" i="3"/>
  <c r="T32" i="3"/>
  <c r="AI32" i="3"/>
  <c r="AI31" i="3"/>
  <c r="T31" i="3"/>
  <c r="AI37" i="3"/>
  <c r="T37" i="3"/>
  <c r="AI17" i="3"/>
  <c r="T17" i="3"/>
  <c r="AI24" i="3"/>
  <c r="T24" i="3"/>
  <c r="AI18" i="3"/>
  <c r="T18" i="3"/>
  <c r="AI35" i="3"/>
  <c r="T35" i="3"/>
  <c r="T20" i="3"/>
  <c r="AI20" i="3"/>
  <c r="AI30" i="3"/>
  <c r="T30" i="3"/>
  <c r="T12" i="3"/>
  <c r="AI12" i="3"/>
  <c r="T11" i="3" l="1"/>
  <c r="AH11" i="3"/>
  <c r="AI1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Kirk Dennison</author>
  </authors>
  <commentList>
    <comment ref="Q4" authorId="0" shapeId="0" xr:uid="{A6FE0531-8CB9-434A-B18A-FA2B063860D3}">
      <text>
        <r>
          <rPr>
            <sz val="9"/>
            <color indexed="81"/>
            <rFont val="Tahoma"/>
            <family val="2"/>
          </rPr>
          <t>Only matters for PM - must be inclusive for KS.</t>
        </r>
      </text>
    </comment>
  </commentList>
</comments>
</file>

<file path=xl/sharedStrings.xml><?xml version="1.0" encoding="utf-8"?>
<sst xmlns="http://schemas.openxmlformats.org/spreadsheetml/2006/main" count="1193" uniqueCount="334">
  <si>
    <t>Mfg</t>
  </si>
  <si>
    <t>Charge</t>
  </si>
  <si>
    <t>PM</t>
  </si>
  <si>
    <t>Method</t>
  </si>
  <si>
    <t>Freight</t>
  </si>
  <si>
    <t>VAT Layer</t>
  </si>
  <si>
    <t>Itemized</t>
  </si>
  <si>
    <t>Total Backers</t>
  </si>
  <si>
    <t>SGG</t>
  </si>
  <si>
    <t>Game</t>
  </si>
  <si>
    <t>Pledge</t>
  </si>
  <si>
    <t>Credit</t>
  </si>
  <si>
    <t>&lt;</t>
  </si>
  <si>
    <t>Pledge &gt;</t>
  </si>
  <si>
    <t>Credit &gt;</t>
  </si>
  <si>
    <t>*</t>
  </si>
  <si>
    <t>6 lbs / 3 kg</t>
  </si>
  <si>
    <t>Country / Region</t>
  </si>
  <si>
    <t>Country Code</t>
  </si>
  <si>
    <t>Status</t>
  </si>
  <si>
    <t>Region</t>
  </si>
  <si>
    <t>Grouping</t>
  </si>
  <si>
    <t>Shipping Zone</t>
  </si>
  <si>
    <t>World %</t>
  </si>
  <si>
    <t>Europe %</t>
  </si>
  <si>
    <t>EU %</t>
  </si>
  <si>
    <t>Asia %</t>
  </si>
  <si>
    <t>EU Blended Avg</t>
  </si>
  <si>
    <t>Selected Service</t>
  </si>
  <si>
    <t>Selected Cost</t>
  </si>
  <si>
    <t>VAT %</t>
  </si>
  <si>
    <t>Inclusive VAT</t>
  </si>
  <si>
    <t>S/H Costs</t>
  </si>
  <si>
    <t>S/H Less Credit</t>
  </si>
  <si>
    <t>Charge S/H</t>
  </si>
  <si>
    <t>Itemized VAT</t>
  </si>
  <si>
    <t>Total Fees</t>
  </si>
  <si>
    <t>Backer Pays</t>
  </si>
  <si>
    <t>Profit $</t>
  </si>
  <si>
    <t>Profit %</t>
  </si>
  <si>
    <t>Notes</t>
  </si>
  <si>
    <t>VAT Amt</t>
  </si>
  <si>
    <t>Less S/H Credit</t>
  </si>
  <si>
    <t>KS Charge</t>
  </si>
  <si>
    <t>Norway</t>
  </si>
  <si>
    <t>NO</t>
  </si>
  <si>
    <t>Non-EU</t>
  </si>
  <si>
    <t>SGG-TR</t>
  </si>
  <si>
    <t>Switzerland</t>
  </si>
  <si>
    <t>CH</t>
  </si>
  <si>
    <t>Chile</t>
  </si>
  <si>
    <t>CL</t>
  </si>
  <si>
    <t>N/A</t>
  </si>
  <si>
    <t>ROW</t>
  </si>
  <si>
    <t>Iceland</t>
  </si>
  <si>
    <t>IS</t>
  </si>
  <si>
    <t>Israel</t>
  </si>
  <si>
    <t>IL</t>
  </si>
  <si>
    <t>VFI-HUB</t>
  </si>
  <si>
    <t>Mexico</t>
  </si>
  <si>
    <t>MX</t>
  </si>
  <si>
    <t>Russia</t>
  </si>
  <si>
    <t>RU</t>
  </si>
  <si>
    <t>Saudi Arabia</t>
  </si>
  <si>
    <t>SA</t>
  </si>
  <si>
    <t>If HS "Rest of World" applies</t>
  </si>
  <si>
    <t>South Africa</t>
  </si>
  <si>
    <t>ZA</t>
  </si>
  <si>
    <t>United Arab Emirates</t>
  </si>
  <si>
    <t>AE</t>
  </si>
  <si>
    <t>Brazil</t>
  </si>
  <si>
    <t>BR</t>
  </si>
  <si>
    <t>Rest of World</t>
  </si>
  <si>
    <t>HS-TR</t>
  </si>
  <si>
    <t>United States</t>
  </si>
  <si>
    <t>US</t>
  </si>
  <si>
    <t>United Kingdom</t>
  </si>
  <si>
    <t>GB</t>
  </si>
  <si>
    <t>UK</t>
  </si>
  <si>
    <t>Germany</t>
  </si>
  <si>
    <t>DE</t>
  </si>
  <si>
    <t>EU</t>
  </si>
  <si>
    <t>EU 1</t>
  </si>
  <si>
    <t>Canada</t>
  </si>
  <si>
    <t>CA</t>
  </si>
  <si>
    <t>PP</t>
  </si>
  <si>
    <t>Australia</t>
  </si>
  <si>
    <t>AU</t>
  </si>
  <si>
    <t>AW</t>
  </si>
  <si>
    <t>France</t>
  </si>
  <si>
    <t>FR</t>
  </si>
  <si>
    <t>EU 3</t>
  </si>
  <si>
    <t>Netherlands</t>
  </si>
  <si>
    <t>NL</t>
  </si>
  <si>
    <t>EU 2</t>
  </si>
  <si>
    <t>Sweden</t>
  </si>
  <si>
    <t>SE</t>
  </si>
  <si>
    <t>Denmark</t>
  </si>
  <si>
    <t>DK</t>
  </si>
  <si>
    <t>Belgium</t>
  </si>
  <si>
    <t>BE</t>
  </si>
  <si>
    <t>Spain</t>
  </si>
  <si>
    <t>ES</t>
  </si>
  <si>
    <t>Japan</t>
  </si>
  <si>
    <t>JP</t>
  </si>
  <si>
    <t>Asia</t>
  </si>
  <si>
    <t>Asia Zone 1</t>
  </si>
  <si>
    <t>Hub</t>
  </si>
  <si>
    <t>Finland</t>
  </si>
  <si>
    <t>FI</t>
  </si>
  <si>
    <t>Poland</t>
  </si>
  <si>
    <t>PL</t>
  </si>
  <si>
    <t>New Zealand</t>
  </si>
  <si>
    <t>NZ</t>
  </si>
  <si>
    <t>Hong Kong</t>
  </si>
  <si>
    <t>HK</t>
  </si>
  <si>
    <t>Asia Zone 0</t>
  </si>
  <si>
    <t>VFI-EX</t>
  </si>
  <si>
    <t>SF Ex</t>
  </si>
  <si>
    <t>Czech Republic</t>
  </si>
  <si>
    <t>CZ</t>
  </si>
  <si>
    <t>Italy</t>
  </si>
  <si>
    <t>IT</t>
  </si>
  <si>
    <t>Singapore</t>
  </si>
  <si>
    <t>SG</t>
  </si>
  <si>
    <t>Austria</t>
  </si>
  <si>
    <t>AT</t>
  </si>
  <si>
    <t>Hungary</t>
  </si>
  <si>
    <t>HU</t>
  </si>
  <si>
    <t>Ireland</t>
  </si>
  <si>
    <t>IE</t>
  </si>
  <si>
    <t>Thailand</t>
  </si>
  <si>
    <t>TH</t>
  </si>
  <si>
    <t>China</t>
  </si>
  <si>
    <t>CN</t>
  </si>
  <si>
    <t>Taiwan</t>
  </si>
  <si>
    <t>TW</t>
  </si>
  <si>
    <t>Portugal</t>
  </si>
  <si>
    <t>PT</t>
  </si>
  <si>
    <t>Luxembourg</t>
  </si>
  <si>
    <t>LU</t>
  </si>
  <si>
    <t>Greece</t>
  </si>
  <si>
    <t>GR</t>
  </si>
  <si>
    <t>Malaysia</t>
  </si>
  <si>
    <t>MY</t>
  </si>
  <si>
    <t>Indonesia</t>
  </si>
  <si>
    <t>ID</t>
  </si>
  <si>
    <t>Asia Zone 0.5</t>
  </si>
  <si>
    <t>VFI-SL</t>
  </si>
  <si>
    <t>Surface Post</t>
  </si>
  <si>
    <t>Lithuania</t>
  </si>
  <si>
    <t>LT</t>
  </si>
  <si>
    <t>Slovenia</t>
  </si>
  <si>
    <t>SI</t>
  </si>
  <si>
    <t>Bulgaria</t>
  </si>
  <si>
    <t>BG</t>
  </si>
  <si>
    <t>Romania</t>
  </si>
  <si>
    <t>RO</t>
  </si>
  <si>
    <t>Slovakia</t>
  </si>
  <si>
    <t>SK</t>
  </si>
  <si>
    <t>Estonia</t>
  </si>
  <si>
    <t>EE</t>
  </si>
  <si>
    <t>Korea, South</t>
  </si>
  <si>
    <t>KR</t>
  </si>
  <si>
    <t>Philippines</t>
  </si>
  <si>
    <t>PH</t>
  </si>
  <si>
    <t>Cyprus</t>
  </si>
  <si>
    <t>CY</t>
  </si>
  <si>
    <t>Croatia</t>
  </si>
  <si>
    <t>HR</t>
  </si>
  <si>
    <t>Latvia</t>
  </si>
  <si>
    <t>LV</t>
  </si>
  <si>
    <t>Vietnam</t>
  </si>
  <si>
    <t>VN</t>
  </si>
  <si>
    <t>Malta</t>
  </si>
  <si>
    <t>MT</t>
  </si>
  <si>
    <t>Country</t>
  </si>
  <si>
    <t>Typical</t>
  </si>
  <si>
    <t>FF</t>
  </si>
  <si>
    <t>QuarterMaster Logistics - FedEx</t>
  </si>
  <si>
    <t>Flat River Group - FedEx</t>
  </si>
  <si>
    <t>D6 Publisher Resources</t>
  </si>
  <si>
    <t>Atlas Games</t>
  </si>
  <si>
    <t>Pick &amp; Pack Logistics</t>
  </si>
  <si>
    <t>Aetherworks</t>
  </si>
  <si>
    <t>Happyshops - Tracked</t>
  </si>
  <si>
    <t>Spiral Galaxy Games - Tracked</t>
  </si>
  <si>
    <t>VFI - Express</t>
  </si>
  <si>
    <t>VFI - Hubs</t>
  </si>
  <si>
    <t>VFI - Slow</t>
  </si>
  <si>
    <t>21 lbs / 10 kg</t>
  </si>
  <si>
    <t>% Backers</t>
  </si>
  <si>
    <t>% Region</t>
  </si>
  <si>
    <t># Backers</t>
  </si>
  <si>
    <t>Min</t>
  </si>
  <si>
    <t>QML-F</t>
  </si>
  <si>
    <t>FRG-F</t>
  </si>
  <si>
    <t>D6</t>
  </si>
  <si>
    <t>Atlas</t>
  </si>
  <si>
    <t>Turkey</t>
  </si>
  <si>
    <t>TR</t>
  </si>
  <si>
    <t>Belarus</t>
  </si>
  <si>
    <t>BY</t>
  </si>
  <si>
    <t>Serbia</t>
  </si>
  <si>
    <t>RS</t>
  </si>
  <si>
    <t>HS</t>
  </si>
  <si>
    <t>Ukraine</t>
  </si>
  <si>
    <t>UA</t>
  </si>
  <si>
    <t>Argentina</t>
  </si>
  <si>
    <t>AR</t>
  </si>
  <si>
    <t>zNA</t>
  </si>
  <si>
    <t>Asia 3</t>
  </si>
  <si>
    <t>Hub (Gaming Library)</t>
  </si>
  <si>
    <t>VFI</t>
  </si>
  <si>
    <t>Asia 1</t>
  </si>
  <si>
    <t>Hub (Battlefield Bangkok)</t>
  </si>
  <si>
    <t>Hub (Team Board Game)</t>
  </si>
  <si>
    <t>Hub (Board Game VN)</t>
  </si>
  <si>
    <t>Not customs friendly</t>
  </si>
  <si>
    <t>Asia 2</t>
  </si>
  <si>
    <t>Hub (BoardM)</t>
  </si>
  <si>
    <t>QML-SP / QML-F</t>
  </si>
  <si>
    <t>AW / HS (bigger)</t>
  </si>
  <si>
    <t>Weighted - EU 3</t>
  </si>
  <si>
    <t>Quote</t>
  </si>
  <si>
    <t>KS Fees</t>
  </si>
  <si>
    <t>PM Fees</t>
  </si>
  <si>
    <t>Charge for 2+</t>
  </si>
  <si>
    <t>Sunk costs</t>
  </si>
  <si>
    <t># Games</t>
  </si>
  <si>
    <t>EU Comply</t>
  </si>
  <si>
    <t>MSRP</t>
  </si>
  <si>
    <t>Other S/H Exp</t>
  </si>
  <si>
    <t>Distro Profit $</t>
  </si>
  <si>
    <t>Distro Profit %</t>
  </si>
  <si>
    <t>Distro S/H Exp</t>
  </si>
  <si>
    <t>TBD</t>
  </si>
  <si>
    <t>Extra freight</t>
  </si>
  <si>
    <t>AK/HI/PR</t>
  </si>
  <si>
    <t>US-AK/HI/PR</t>
  </si>
  <si>
    <t>USPS Parcel</t>
  </si>
  <si>
    <t>Transfer to TWG</t>
  </si>
  <si>
    <t>Distro Price</t>
  </si>
  <si>
    <t>Sort Order</t>
  </si>
  <si>
    <t>A1</t>
  </si>
  <si>
    <t>A2</t>
  </si>
  <si>
    <t>A3</t>
  </si>
  <si>
    <t>D1</t>
  </si>
  <si>
    <t>D2</t>
  </si>
  <si>
    <t>E1</t>
  </si>
  <si>
    <t>E2</t>
  </si>
  <si>
    <t>F1</t>
  </si>
  <si>
    <t>G1</t>
  </si>
  <si>
    <t>H1</t>
  </si>
  <si>
    <t>Norway, Switzerland, Iceland</t>
  </si>
  <si>
    <t>Asia (JP, KR, MY, PH, SG, TH, TW, VN), South Africa</t>
  </si>
  <si>
    <r>
      <t xml:space="preserve">This project does </t>
    </r>
    <r>
      <rPr>
        <u/>
        <sz val="10"/>
        <color theme="1"/>
        <rFont val="Tahoma"/>
        <family val="2"/>
      </rPr>
      <t>not</t>
    </r>
    <r>
      <rPr>
        <sz val="10"/>
        <color theme="1"/>
        <rFont val="Tahoma"/>
        <family val="2"/>
      </rPr>
      <t xml:space="preserve"> ship to Russia or South America.</t>
    </r>
  </si>
  <si>
    <t>For countries not listed above, please email kirk@thunderworksgames.com for a custom shipping quote (allow 3 business days for a reply).</t>
  </si>
  <si>
    <t>Indonesia, Israel, Saudi Arabia, UAE</t>
  </si>
  <si>
    <t>COGS</t>
  </si>
  <si>
    <t>S/H</t>
  </si>
  <si>
    <t>VAT</t>
  </si>
  <si>
    <t>1st Game</t>
  </si>
  <si>
    <t>2+ Games</t>
  </si>
  <si>
    <t>Games</t>
  </si>
  <si>
    <t>PM Charges</t>
  </si>
  <si>
    <t>Kickstarter Charges</t>
  </si>
  <si>
    <t>Game x1</t>
  </si>
  <si>
    <t>Royalty</t>
  </si>
  <si>
    <t>Simple Export Rate</t>
  </si>
  <si>
    <t>Cartographers Promos</t>
  </si>
  <si>
    <t>Game + Anything</t>
  </si>
  <si>
    <t>China, Hong Kong</t>
  </si>
  <si>
    <t>UK, Germany</t>
  </si>
  <si>
    <t>Stonespine OR
Stonespine + Cart. Promos</t>
  </si>
  <si>
    <t>Stonespine + Plushie OR
All-In</t>
  </si>
  <si>
    <t>No</t>
  </si>
  <si>
    <t>For Distro</t>
  </si>
  <si>
    <t>z N/A</t>
  </si>
  <si>
    <t>Extra Plushies (beyond 1st)</t>
  </si>
  <si>
    <t>Extra Games (beyond 1st)</t>
  </si>
  <si>
    <t>Max 3 extras</t>
  </si>
  <si>
    <t>Max 2 extras</t>
  </si>
  <si>
    <t>4 lbs / 
2 kg</t>
  </si>
  <si>
    <t>Change values in gray cells</t>
  </si>
  <si>
    <t>Blend - EU</t>
  </si>
  <si>
    <t>I1</t>
  </si>
  <si>
    <t>I2</t>
  </si>
  <si>
    <t>I3</t>
  </si>
  <si>
    <t>I4</t>
  </si>
  <si>
    <t>I5</t>
  </si>
  <si>
    <t>F2</t>
  </si>
  <si>
    <t>F3</t>
  </si>
  <si>
    <t>F4</t>
  </si>
  <si>
    <t>F5</t>
  </si>
  <si>
    <t>F6</t>
  </si>
  <si>
    <t>F7</t>
  </si>
  <si>
    <t>F8</t>
  </si>
  <si>
    <t>F9</t>
  </si>
  <si>
    <t>D3</t>
  </si>
  <si>
    <t>C01</t>
  </si>
  <si>
    <t>C02</t>
  </si>
  <si>
    <t>C03</t>
  </si>
  <si>
    <t>C04</t>
  </si>
  <si>
    <t>C05</t>
  </si>
  <si>
    <t>C06</t>
  </si>
  <si>
    <t>C07</t>
  </si>
  <si>
    <t>C08</t>
  </si>
  <si>
    <t>C09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</si>
  <si>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</si>
  <si>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</si>
  <si>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</si>
  <si>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</si>
  <si>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</si>
  <si>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</si>
  <si>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</si>
  <si>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</si>
  <si>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</si>
  <si>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</si>
  <si>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</si>
  <si>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</si>
  <si>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</si>
  <si>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</si>
  <si>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</si>
  <si>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</si>
  <si>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</si>
  <si>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</si>
  <si>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B1</t>
  </si>
  <si>
    <t>C00</t>
  </si>
  <si>
    <t>PUB</t>
  </si>
  <si>
    <t>Info only (with *) are hidden</t>
  </si>
  <si>
    <t xml:space="preserve">1st game </t>
  </si>
  <si>
    <t>Example chart from Stonespine Architects</t>
  </si>
  <si>
    <t>Updated Oct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</si>
</sst>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i/>
      <sz val="10"/>
      <color theme="1"/>
      <name val="Tahoma"/>
      <family val="2"/>
    </font>
    <font>
      <sz val="9"/>
      <color indexed="81"/>
      <name val="Tahoma"/>
      <family val="2"/>
    </font>
    <font>
      <u/>
      <sz val="10"/>
      <color theme="1"/>
      <name val="Tahoma"/>
      <family val="2"/>
    </font>
    <font>
      <b/>
      <sz val="8"/>
      <color theme="1"/>
      <name val="Tahoma"/>
      <family val="2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0" fontId="4" fillId="2" borderId="0" xfId="0" applyFont="1" applyFill="1"/>
    <xf numFmtId="0" fontId="4" fillId="0" borderId="0" xfId="0" applyFont="1"/>
    <xf numFmtId="0" fontId="3" fillId="0" borderId="0" xfId="0" applyFont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9" fontId="4" fillId="0" borderId="0" xfId="2" applyFont="1"/>
    <xf numFmtId="43" fontId="4" fillId="0" borderId="0" xfId="0" applyNumberFormat="1" applyFont="1"/>
    <xf numFmtId="43" fontId="4" fillId="0" borderId="0" xfId="1" applyFont="1" applyFill="1"/>
    <xf numFmtId="43" fontId="4" fillId="3" borderId="0" xfId="1" applyFont="1" applyFill="1"/>
    <xf numFmtId="43" fontId="4" fillId="4" borderId="0" xfId="1" applyFont="1" applyFill="1"/>
    <xf numFmtId="43" fontId="4" fillId="5" borderId="0" xfId="1" applyFont="1" applyFill="1"/>
    <xf numFmtId="164" fontId="4" fillId="0" borderId="0" xfId="1" applyNumberFormat="1" applyFont="1" applyFill="1"/>
    <xf numFmtId="165" fontId="4" fillId="0" borderId="0" xfId="2" applyNumberFormat="1" applyFont="1"/>
    <xf numFmtId="0" fontId="4" fillId="0" borderId="0" xfId="1" applyNumberFormat="1" applyFont="1"/>
    <xf numFmtId="0" fontId="0" fillId="6" borderId="0" xfId="0" applyFill="1"/>
    <xf numFmtId="0" fontId="4" fillId="6" borderId="0" xfId="0" applyFont="1" applyFill="1"/>
    <xf numFmtId="0" fontId="3" fillId="6" borderId="0" xfId="0" applyFont="1" applyFill="1" applyAlignment="1">
      <alignment vertical="top" wrapText="1"/>
    </xf>
    <xf numFmtId="164" fontId="4" fillId="6" borderId="0" xfId="1" applyNumberFormat="1" applyFont="1" applyFill="1"/>
    <xf numFmtId="0" fontId="1" fillId="6" borderId="0" xfId="0" applyFont="1" applyFill="1"/>
    <xf numFmtId="43" fontId="4" fillId="7" borderId="0" xfId="1" applyFont="1" applyFill="1"/>
    <xf numFmtId="43" fontId="4" fillId="0" borderId="0" xfId="1" applyFont="1"/>
    <xf numFmtId="0" fontId="3" fillId="8" borderId="0" xfId="0" applyFont="1" applyFill="1" applyAlignment="1">
      <alignment vertical="top" wrapText="1"/>
    </xf>
    <xf numFmtId="164" fontId="4" fillId="2" borderId="0" xfId="1" applyNumberFormat="1" applyFont="1" applyFill="1"/>
    <xf numFmtId="0" fontId="3" fillId="9" borderId="0" xfId="0" applyFont="1" applyFill="1"/>
    <xf numFmtId="0" fontId="3" fillId="9" borderId="0" xfId="0" applyFont="1" applyFill="1" applyAlignment="1">
      <alignment horizontal="left" vertical="top" wrapText="1"/>
    </xf>
    <xf numFmtId="0" fontId="5" fillId="0" borderId="0" xfId="0" applyFont="1"/>
    <xf numFmtId="43" fontId="4" fillId="8" borderId="0" xfId="0" applyNumberFormat="1" applyFont="1" applyFill="1"/>
    <xf numFmtId="9" fontId="4" fillId="8" borderId="0" xfId="2" applyFont="1" applyFill="1"/>
    <xf numFmtId="0" fontId="4" fillId="0" borderId="3" xfId="0" applyFont="1" applyBorder="1" applyAlignment="1">
      <alignment horizontal="left"/>
    </xf>
    <xf numFmtId="0" fontId="3" fillId="0" borderId="3" xfId="0" applyFont="1" applyBorder="1" applyAlignment="1">
      <alignment horizontal="left" vertical="top" wrapText="1"/>
    </xf>
    <xf numFmtId="0" fontId="4" fillId="0" borderId="3" xfId="1" applyNumberFormat="1" applyFont="1" applyFill="1" applyBorder="1" applyAlignment="1">
      <alignment horizontal="left"/>
    </xf>
    <xf numFmtId="166" fontId="4" fillId="0" borderId="1" xfId="3" applyNumberFormat="1" applyFont="1" applyBorder="1" applyAlignment="1">
      <alignment wrapText="1"/>
    </xf>
    <xf numFmtId="0" fontId="3" fillId="0" borderId="0" xfId="0" applyFont="1" applyAlignment="1">
      <alignment wrapText="1"/>
    </xf>
    <xf numFmtId="43" fontId="4" fillId="0" borderId="3" xfId="0" applyNumberFormat="1" applyFont="1" applyBorder="1" applyAlignment="1">
      <alignment horizontal="right"/>
    </xf>
    <xf numFmtId="9" fontId="4" fillId="0" borderId="3" xfId="2" applyFont="1" applyBorder="1" applyAlignment="1">
      <alignment horizontal="right"/>
    </xf>
    <xf numFmtId="43" fontId="4" fillId="2" borderId="3" xfId="0" applyNumberFormat="1" applyFont="1" applyFill="1" applyBorder="1" applyAlignment="1">
      <alignment horizontal="right"/>
    </xf>
    <xf numFmtId="43" fontId="4" fillId="2" borderId="0" xfId="1" applyFont="1" applyFill="1"/>
    <xf numFmtId="11" fontId="4" fillId="0" borderId="0" xfId="0" applyNumberFormat="1" applyFont="1"/>
    <xf numFmtId="166" fontId="4" fillId="0" borderId="5" xfId="3" applyNumberFormat="1" applyFont="1" applyBorder="1" applyAlignment="1">
      <alignment wrapText="1"/>
    </xf>
    <xf numFmtId="166" fontId="4" fillId="0" borderId="7" xfId="3" applyNumberFormat="1" applyFont="1" applyBorder="1" applyAlignment="1">
      <alignment wrapText="1"/>
    </xf>
    <xf numFmtId="166" fontId="4" fillId="0" borderId="8" xfId="3" applyNumberFormat="1" applyFont="1" applyBorder="1" applyAlignment="1">
      <alignment wrapText="1"/>
    </xf>
    <xf numFmtId="43" fontId="4" fillId="0" borderId="3" xfId="0" applyNumberFormat="1" applyFont="1" applyBorder="1" applyAlignment="1">
      <alignment horizontal="left"/>
    </xf>
    <xf numFmtId="43" fontId="4" fillId="2" borderId="0" xfId="0" applyNumberFormat="1" applyFont="1" applyFill="1"/>
    <xf numFmtId="0" fontId="3" fillId="2" borderId="10" xfId="0" applyFont="1" applyFill="1" applyBorder="1" applyAlignment="1">
      <alignment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wrapText="1"/>
    </xf>
    <xf numFmtId="0" fontId="3" fillId="2" borderId="13" xfId="0" applyFont="1" applyFill="1" applyBorder="1" applyAlignment="1">
      <alignment wrapText="1"/>
    </xf>
    <xf numFmtId="0" fontId="3" fillId="2" borderId="9" xfId="0" applyFont="1" applyFill="1" applyBorder="1" applyAlignment="1">
      <alignment wrapText="1"/>
    </xf>
    <xf numFmtId="0" fontId="4" fillId="0" borderId="14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8" fillId="0" borderId="0" xfId="0" applyFont="1" applyAlignment="1">
      <alignment vertical="top" wrapText="1"/>
    </xf>
    <xf numFmtId="0" fontId="3" fillId="2" borderId="15" xfId="0" applyFont="1" applyFill="1" applyBorder="1" applyAlignment="1">
      <alignment wrapText="1"/>
    </xf>
    <xf numFmtId="9" fontId="4" fillId="2" borderId="0" xfId="2" applyFont="1" applyFill="1"/>
    <xf numFmtId="0" fontId="4" fillId="2" borderId="0" xfId="0" applyFont="1" applyFill="1" applyAlignment="1">
      <alignment horizontal="left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99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263C7-908D-4CC6-92D2-9FBDB14BA717}">
  <dimension ref="A1:H17"/>
  <sheetViews>
    <sheetView workbookViewId="0">
      <pane xSplit="1" ySplit="4" topLeftCell="B5" activePane="bottomRight" state="frozen"/>
      <selection pane="topRight" activeCell="C1" sqref="C1"/>
      <selection pane="bottomLeft" activeCell="A4" sqref="A4"/>
      <selection pane="bottomRight" activeCell="G13" sqref="G13"/>
    </sheetView>
  </sheetViews>
  <sheetFormatPr defaultColWidth="9" defaultRowHeight="15" x14ac:dyDescent="0.25"/>
  <cols>
    <col min="1" max="1" width="9" style="3"/>
    <col min="2" max="2" width="21" style="3" customWidth="1"/>
    <col min="3" max="3" width="14.28515625" style="3" customWidth="1"/>
    <col min="4" max="4" width="17.140625" style="3" customWidth="1"/>
    <col min="5" max="5" width="15.140625" style="3" customWidth="1"/>
    <col min="6" max="6" width="12.42578125" style="3" bestFit="1" customWidth="1"/>
    <col min="7" max="7" width="14" style="3" bestFit="1" customWidth="1"/>
    <col min="9" max="16384" width="9" style="3"/>
  </cols>
  <sheetData>
    <row r="1" spans="1:7" x14ac:dyDescent="0.25">
      <c r="B1" s="27" t="s">
        <v>332</v>
      </c>
    </row>
    <row r="2" spans="1:7" ht="15.75" thickBot="1" x14ac:dyDescent="0.3">
      <c r="F2" s="3" t="s">
        <v>281</v>
      </c>
      <c r="G2" s="3" t="s">
        <v>282</v>
      </c>
    </row>
    <row r="3" spans="1:7" ht="39" x14ac:dyDescent="0.25">
      <c r="B3" s="49" t="s">
        <v>176</v>
      </c>
      <c r="C3" s="47" t="s">
        <v>270</v>
      </c>
      <c r="D3" s="47" t="s">
        <v>274</v>
      </c>
      <c r="E3" s="47" t="s">
        <v>275</v>
      </c>
      <c r="F3" s="47" t="s">
        <v>280</v>
      </c>
      <c r="G3" s="54" t="s">
        <v>279</v>
      </c>
    </row>
    <row r="4" spans="1:7" ht="26.25" hidden="1" x14ac:dyDescent="0.25">
      <c r="A4" s="4"/>
      <c r="B4" s="50"/>
      <c r="C4" s="48" t="s">
        <v>270</v>
      </c>
      <c r="D4" s="45" t="s">
        <v>9</v>
      </c>
      <c r="E4" s="45" t="s">
        <v>271</v>
      </c>
      <c r="F4" s="45"/>
      <c r="G4" s="46"/>
    </row>
    <row r="5" spans="1:7" x14ac:dyDescent="0.25">
      <c r="B5" s="51" t="s">
        <v>75</v>
      </c>
      <c r="C5" s="33">
        <v>4</v>
      </c>
      <c r="D5" s="33">
        <v>8</v>
      </c>
      <c r="E5" s="33">
        <v>10</v>
      </c>
      <c r="F5" s="33">
        <v>2</v>
      </c>
      <c r="G5" s="40">
        <v>1</v>
      </c>
    </row>
    <row r="6" spans="1:7" x14ac:dyDescent="0.25">
      <c r="B6" s="51" t="s">
        <v>272</v>
      </c>
      <c r="C6" s="33">
        <v>7</v>
      </c>
      <c r="D6" s="33">
        <v>8</v>
      </c>
      <c r="E6" s="33">
        <v>10</v>
      </c>
      <c r="F6" s="33">
        <v>2</v>
      </c>
      <c r="G6" s="40">
        <v>1</v>
      </c>
    </row>
    <row r="7" spans="1:7" x14ac:dyDescent="0.25">
      <c r="B7" s="51" t="s">
        <v>273</v>
      </c>
      <c r="C7" s="33">
        <v>7</v>
      </c>
      <c r="D7" s="33">
        <v>10</v>
      </c>
      <c r="E7" s="33">
        <v>12</v>
      </c>
      <c r="F7" s="33">
        <v>3</v>
      </c>
      <c r="G7" s="40">
        <v>1</v>
      </c>
    </row>
    <row r="8" spans="1:7" x14ac:dyDescent="0.25">
      <c r="B8" s="51" t="s">
        <v>81</v>
      </c>
      <c r="C8" s="33">
        <v>7</v>
      </c>
      <c r="D8" s="33">
        <v>10</v>
      </c>
      <c r="E8" s="33">
        <v>12</v>
      </c>
      <c r="F8" s="33">
        <v>3</v>
      </c>
      <c r="G8" s="40">
        <v>1</v>
      </c>
    </row>
    <row r="9" spans="1:7" ht="26.25" x14ac:dyDescent="0.25">
      <c r="B9" s="51" t="s">
        <v>254</v>
      </c>
      <c r="C9" s="33">
        <v>9</v>
      </c>
      <c r="D9" s="33">
        <v>12</v>
      </c>
      <c r="E9" s="33">
        <v>14</v>
      </c>
      <c r="F9" s="33">
        <v>4</v>
      </c>
      <c r="G9" s="40">
        <v>1</v>
      </c>
    </row>
    <row r="10" spans="1:7" x14ac:dyDescent="0.25">
      <c r="B10" s="51" t="s">
        <v>83</v>
      </c>
      <c r="C10" s="33">
        <v>9</v>
      </c>
      <c r="D10" s="33">
        <v>14</v>
      </c>
      <c r="E10" s="33">
        <v>16</v>
      </c>
      <c r="F10" s="33">
        <v>4</v>
      </c>
      <c r="G10" s="40">
        <v>1</v>
      </c>
    </row>
    <row r="11" spans="1:7" x14ac:dyDescent="0.25">
      <c r="B11" s="51" t="s">
        <v>86</v>
      </c>
      <c r="C11" s="33">
        <v>12</v>
      </c>
      <c r="D11" s="33">
        <v>14</v>
      </c>
      <c r="E11" s="33">
        <v>16</v>
      </c>
      <c r="F11" s="33">
        <v>4</v>
      </c>
      <c r="G11" s="40">
        <v>1</v>
      </c>
    </row>
    <row r="12" spans="1:7" x14ac:dyDescent="0.25">
      <c r="B12" s="51" t="s">
        <v>112</v>
      </c>
      <c r="C12" s="33">
        <v>12</v>
      </c>
      <c r="D12" s="33">
        <v>14</v>
      </c>
      <c r="E12" s="33">
        <v>16</v>
      </c>
      <c r="F12" s="33">
        <v>4</v>
      </c>
      <c r="G12" s="40">
        <v>2</v>
      </c>
    </row>
    <row r="13" spans="1:7" ht="39" x14ac:dyDescent="0.25">
      <c r="B13" s="51" t="s">
        <v>255</v>
      </c>
      <c r="C13" s="33">
        <v>12</v>
      </c>
      <c r="D13" s="33">
        <v>16</v>
      </c>
      <c r="E13" s="33">
        <v>18</v>
      </c>
      <c r="F13" s="33">
        <v>5</v>
      </c>
      <c r="G13" s="40">
        <v>2</v>
      </c>
    </row>
    <row r="14" spans="1:7" ht="27" thickBot="1" x14ac:dyDescent="0.3">
      <c r="B14" s="52" t="s">
        <v>258</v>
      </c>
      <c r="C14" s="41">
        <v>12</v>
      </c>
      <c r="D14" s="41">
        <v>30</v>
      </c>
      <c r="E14" s="41">
        <v>32</v>
      </c>
      <c r="F14" s="41">
        <v>15</v>
      </c>
      <c r="G14" s="42">
        <v>5</v>
      </c>
    </row>
    <row r="16" spans="1:7" x14ac:dyDescent="0.25">
      <c r="B16" s="3" t="s">
        <v>256</v>
      </c>
    </row>
    <row r="17" spans="2:2" x14ac:dyDescent="0.25">
      <c r="B17" s="3" t="s">
        <v>257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41E1C-C4D1-455F-BCA4-03EF96AA1B18}">
  <sheetPr>
    <tabColor rgb="FF92D050"/>
  </sheetPr>
  <dimension ref="A1:AP63"/>
  <sheetViews>
    <sheetView tabSelected="1" zoomScaleNormal="100" workbookViewId="0">
      <pane xSplit="2" ySplit="6" topLeftCell="C7" activePane="bottomRight" state="frozen"/>
      <selection pane="topRight" activeCell="C1" sqref="C1"/>
      <selection pane="bottomLeft" activeCell="A4" sqref="A4"/>
      <selection pane="bottomRight" activeCell="C7" sqref="C7"/>
    </sheetView>
  </sheetViews>
  <sheetFormatPr defaultColWidth="9" defaultRowHeight="12.75" x14ac:dyDescent="0.2"/>
  <cols>
    <col min="1" max="2" width="9" style="3"/>
    <col min="3" max="3" width="7.28515625" style="3" customWidth="1"/>
    <col min="4" max="4" width="7" style="3" customWidth="1"/>
    <col min="5" max="6" width="9" style="3" hidden="1" customWidth="1"/>
    <col min="7" max="7" width="6.42578125" style="3" hidden="1" customWidth="1"/>
    <col min="8" max="8" width="7.140625" style="3" hidden="1" customWidth="1"/>
    <col min="9" max="9" width="5.140625" style="3" customWidth="1"/>
    <col min="10" max="10" width="4.5703125" style="3" hidden="1" customWidth="1"/>
    <col min="11" max="11" width="8.140625" style="3" customWidth="1"/>
    <col min="12" max="13" width="9" style="3" hidden="1" customWidth="1"/>
    <col min="14" max="14" width="9" style="3"/>
    <col min="15" max="15" width="8.5703125" style="3" bestFit="1" customWidth="1"/>
    <col min="16" max="17" width="8.7109375" style="3" customWidth="1"/>
    <col min="18" max="18" width="9" style="3"/>
    <col min="19" max="19" width="9.28515625" style="3" customWidth="1"/>
    <col min="20" max="20" width="8.42578125" style="3" customWidth="1"/>
    <col min="21" max="22" width="8.7109375" style="3" customWidth="1"/>
    <col min="23" max="26" width="8.7109375" style="3" hidden="1" customWidth="1"/>
    <col min="27" max="30" width="7.42578125" style="3" hidden="1" customWidth="1"/>
    <col min="31" max="31" width="7" style="3" hidden="1" customWidth="1"/>
    <col min="32" max="32" width="7" style="3" customWidth="1"/>
    <col min="33" max="33" width="8.5703125" style="3" customWidth="1"/>
    <col min="34" max="34" width="7.85546875" style="3" bestFit="1" customWidth="1"/>
    <col min="35" max="35" width="6.28515625" style="3" customWidth="1"/>
    <col min="36" max="36" width="16.5703125" style="30" customWidth="1"/>
    <col min="37" max="16384" width="9" style="3"/>
  </cols>
  <sheetData>
    <row r="1" spans="1:36" x14ac:dyDescent="0.2">
      <c r="A1" s="1" t="s">
        <v>267</v>
      </c>
      <c r="C1" s="27" t="s">
        <v>330</v>
      </c>
      <c r="N1" s="25" t="s">
        <v>10</v>
      </c>
      <c r="O1" s="38">
        <v>36</v>
      </c>
      <c r="R1" s="1" t="s">
        <v>0</v>
      </c>
      <c r="S1" s="38">
        <v>5</v>
      </c>
      <c r="W1" s="1"/>
      <c r="X1" s="1"/>
      <c r="Y1" s="1"/>
      <c r="Z1" s="1"/>
      <c r="AH1" s="1" t="s">
        <v>242</v>
      </c>
      <c r="AJ1" s="35">
        <f>O2*0.4</f>
        <v>18</v>
      </c>
    </row>
    <row r="2" spans="1:36" x14ac:dyDescent="0.2">
      <c r="A2" s="27" t="s">
        <v>333</v>
      </c>
      <c r="C2" s="2" t="s">
        <v>284</v>
      </c>
      <c r="D2" s="2"/>
      <c r="E2" s="2"/>
      <c r="N2" s="1" t="s">
        <v>231</v>
      </c>
      <c r="O2" s="38">
        <v>45</v>
      </c>
      <c r="R2" s="1" t="s">
        <v>4</v>
      </c>
      <c r="S2" s="38">
        <v>1.1499999999999999</v>
      </c>
      <c r="W2" s="27"/>
      <c r="X2" s="27"/>
      <c r="Y2" s="27"/>
      <c r="Z2" s="27"/>
      <c r="AH2" s="1" t="s">
        <v>259</v>
      </c>
      <c r="AJ2" s="43">
        <f>SUM(S1:S2)</f>
        <v>6.15</v>
      </c>
    </row>
    <row r="3" spans="1:36" x14ac:dyDescent="0.2">
      <c r="A3" s="56" t="s">
        <v>283</v>
      </c>
      <c r="B3" s="2"/>
      <c r="N3" s="1" t="s">
        <v>1</v>
      </c>
      <c r="O3" s="2" t="s">
        <v>2</v>
      </c>
      <c r="R3" s="1" t="s">
        <v>268</v>
      </c>
      <c r="S3" s="44">
        <f>O2*0.4*0.07</f>
        <v>1.2600000000000002</v>
      </c>
      <c r="W3" s="1"/>
      <c r="X3" s="1"/>
      <c r="Y3" s="1"/>
      <c r="Z3" s="1"/>
      <c r="AF3" s="3" t="s">
        <v>12</v>
      </c>
      <c r="AH3" s="1" t="s">
        <v>235</v>
      </c>
      <c r="AI3" s="1"/>
      <c r="AJ3" s="37">
        <f>(23.17/6)*B4</f>
        <v>3.8616666666666668</v>
      </c>
    </row>
    <row r="4" spans="1:36" ht="25.5" x14ac:dyDescent="0.2">
      <c r="A4" s="1" t="s">
        <v>229</v>
      </c>
      <c r="B4" s="2">
        <v>1</v>
      </c>
      <c r="N4" s="34" t="s">
        <v>227</v>
      </c>
      <c r="O4" s="2" t="s">
        <v>2</v>
      </c>
      <c r="P4" s="34" t="s">
        <v>5</v>
      </c>
      <c r="Q4" s="2" t="s">
        <v>6</v>
      </c>
      <c r="R4" s="34" t="s">
        <v>228</v>
      </c>
      <c r="S4" s="44">
        <v>3</v>
      </c>
      <c r="AH4" s="1" t="s">
        <v>233</v>
      </c>
      <c r="AJ4" s="35">
        <f>AJ1-AJ2-AJ3-S3-IF(S5="Yes",S4,0)</f>
        <v>6.7283333333333335</v>
      </c>
    </row>
    <row r="5" spans="1:36" ht="25.5" x14ac:dyDescent="0.2">
      <c r="A5" s="1"/>
      <c r="B5" s="1"/>
      <c r="C5" s="1"/>
      <c r="D5" s="1"/>
      <c r="E5" s="3" t="s">
        <v>15</v>
      </c>
      <c r="F5" s="3" t="s">
        <v>15</v>
      </c>
      <c r="G5" s="3" t="s">
        <v>15</v>
      </c>
      <c r="H5" s="3" t="s">
        <v>15</v>
      </c>
      <c r="J5" s="3" t="s">
        <v>15</v>
      </c>
      <c r="K5" s="8"/>
      <c r="L5" s="3" t="s">
        <v>15</v>
      </c>
      <c r="M5" s="3" t="s">
        <v>15</v>
      </c>
      <c r="N5" s="34" t="s">
        <v>331</v>
      </c>
      <c r="O5" s="38">
        <v>36</v>
      </c>
      <c r="R5" s="34" t="s">
        <v>277</v>
      </c>
      <c r="S5" s="2" t="s">
        <v>276</v>
      </c>
      <c r="T5" s="1" t="s">
        <v>11</v>
      </c>
      <c r="U5" s="44">
        <v>9</v>
      </c>
      <c r="W5" s="1" t="s">
        <v>266</v>
      </c>
      <c r="AA5" s="1" t="s">
        <v>265</v>
      </c>
      <c r="AD5" s="55">
        <v>0.08</v>
      </c>
      <c r="AE5" s="55">
        <v>0.08</v>
      </c>
      <c r="AH5" s="1" t="s">
        <v>234</v>
      </c>
      <c r="AJ5" s="36">
        <f>AJ4/AJ1</f>
        <v>0.37379629629629629</v>
      </c>
    </row>
    <row r="6" spans="1:36" ht="38.25" x14ac:dyDescent="0.2">
      <c r="A6" s="4" t="s">
        <v>17</v>
      </c>
      <c r="B6" s="4" t="s">
        <v>18</v>
      </c>
      <c r="C6" s="4" t="s">
        <v>243</v>
      </c>
      <c r="D6" s="4" t="s">
        <v>20</v>
      </c>
      <c r="E6" s="4" t="s">
        <v>21</v>
      </c>
      <c r="F6" s="4" t="s">
        <v>22</v>
      </c>
      <c r="G6" s="4" t="s">
        <v>23</v>
      </c>
      <c r="H6" s="4" t="s">
        <v>24</v>
      </c>
      <c r="I6" s="4" t="s">
        <v>25</v>
      </c>
      <c r="J6" s="4" t="s">
        <v>26</v>
      </c>
      <c r="K6" s="53" t="s">
        <v>27</v>
      </c>
      <c r="L6" s="5" t="s">
        <v>28</v>
      </c>
      <c r="M6" s="4" t="s">
        <v>3</v>
      </c>
      <c r="N6" s="4" t="s">
        <v>29</v>
      </c>
      <c r="O6" s="4" t="s">
        <v>232</v>
      </c>
      <c r="P6" s="4" t="s">
        <v>230</v>
      </c>
      <c r="Q6" s="4" t="s">
        <v>30</v>
      </c>
      <c r="R6" s="4" t="s">
        <v>31</v>
      </c>
      <c r="S6" s="4" t="s">
        <v>32</v>
      </c>
      <c r="T6" s="18" t="s">
        <v>33</v>
      </c>
      <c r="U6" s="26" t="s">
        <v>34</v>
      </c>
      <c r="V6" s="26" t="s">
        <v>35</v>
      </c>
      <c r="W6" s="4" t="s">
        <v>262</v>
      </c>
      <c r="X6" s="4" t="s">
        <v>263</v>
      </c>
      <c r="Y6" s="4" t="s">
        <v>260</v>
      </c>
      <c r="Z6" s="4" t="s">
        <v>261</v>
      </c>
      <c r="AA6" s="4" t="s">
        <v>264</v>
      </c>
      <c r="AB6" s="4" t="s">
        <v>260</v>
      </c>
      <c r="AC6" s="4" t="s">
        <v>261</v>
      </c>
      <c r="AD6" s="4" t="s">
        <v>225</v>
      </c>
      <c r="AE6" s="4" t="s">
        <v>226</v>
      </c>
      <c r="AF6" s="4" t="s">
        <v>36</v>
      </c>
      <c r="AG6" s="26" t="s">
        <v>37</v>
      </c>
      <c r="AH6" s="23" t="s">
        <v>38</v>
      </c>
      <c r="AI6" s="23" t="s">
        <v>39</v>
      </c>
      <c r="AJ6" s="31" t="s">
        <v>40</v>
      </c>
    </row>
    <row r="7" spans="1:36" x14ac:dyDescent="0.2">
      <c r="A7" s="3" t="s">
        <v>74</v>
      </c>
      <c r="B7" s="3" t="s">
        <v>75</v>
      </c>
      <c r="C7" s="3" t="s">
        <v>244</v>
      </c>
      <c r="D7" s="3" t="s">
        <v>75</v>
      </c>
      <c r="G7" s="7">
        <v>0.542107064694059</v>
      </c>
      <c r="H7" s="7"/>
      <c r="I7" s="15"/>
      <c r="J7" s="7"/>
      <c r="K7" s="15"/>
      <c r="L7" s="2" t="s">
        <v>236</v>
      </c>
      <c r="M7" s="2"/>
      <c r="N7" s="38">
        <v>18</v>
      </c>
      <c r="O7" s="24"/>
      <c r="P7" s="9"/>
      <c r="Q7" s="9">
        <v>0</v>
      </c>
      <c r="R7" s="9"/>
      <c r="S7" s="9">
        <f t="shared" ref="S7:S38" si="0">N7+O7+R7+P7</f>
        <v>18</v>
      </c>
      <c r="T7" s="19">
        <f t="shared" ref="T7:T38" si="1">ROUNDUP(S7-$U$5,0)</f>
        <v>9</v>
      </c>
      <c r="U7" s="24">
        <v>8</v>
      </c>
      <c r="V7" s="9">
        <f t="shared" ref="V7:V38" si="2">IF(O$3="KS",0,(IF(Q$4="Itemized",($O$1+U7)*Q7,0)))</f>
        <v>0</v>
      </c>
      <c r="W7" s="9">
        <f t="shared" ref="W7:W38" si="3">$O$5-Z7</f>
        <v>36</v>
      </c>
      <c r="X7" s="9">
        <f t="shared" ref="X7:X38" si="4">IF(OR($O$4="N/A",$O$4="PM"),0,IF($O$4="KS",$O$1-$O$5,"??"))</f>
        <v>0</v>
      </c>
      <c r="Y7" s="9">
        <f t="shared" ref="Y7:Y38" si="5">IF($O$3="KS",U7,0)</f>
        <v>0</v>
      </c>
      <c r="Z7" s="9">
        <f>R7</f>
        <v>0</v>
      </c>
      <c r="AA7" s="9">
        <f t="shared" ref="AA7:AA38" si="6">IF(OR($O$4="N/A",$O$4="KS"),0,IF($O$4="PM",$O$1-$O$5,"??"))</f>
        <v>0</v>
      </c>
      <c r="AB7" s="9">
        <f t="shared" ref="AB7:AB38" si="7">IF($O$3="PM",U7,0)</f>
        <v>8</v>
      </c>
      <c r="AC7" s="9">
        <f>V7</f>
        <v>0</v>
      </c>
      <c r="AD7" s="9">
        <f>SUM(W7:Z7)*$AD$5</f>
        <v>2.88</v>
      </c>
      <c r="AE7" s="9">
        <f>(SUM(AA7:AC7)*$AE$5)+0.3</f>
        <v>0.94</v>
      </c>
      <c r="AF7" s="9">
        <f t="shared" ref="AF7:AF39" si="8">SUM(AD7:AE7)</f>
        <v>3.82</v>
      </c>
      <c r="AG7" s="9">
        <f t="shared" ref="AG7:AG38" si="9">$O$1+U7+V7</f>
        <v>44</v>
      </c>
      <c r="AH7" s="28">
        <f>(O$1+U7+V7)-S$1-S$2-S7-V7-AF7-$S$4-$S$3</f>
        <v>11.770000000000001</v>
      </c>
      <c r="AI7" s="29">
        <f t="shared" ref="AI7:AI38" si="10">AH7/O$1</f>
        <v>0.32694444444444448</v>
      </c>
      <c r="AJ7" s="32"/>
    </row>
    <row r="8" spans="1:36" x14ac:dyDescent="0.2">
      <c r="A8" s="3" t="s">
        <v>114</v>
      </c>
      <c r="B8" s="3" t="s">
        <v>115</v>
      </c>
      <c r="C8" s="3" t="s">
        <v>245</v>
      </c>
      <c r="D8" s="3" t="s">
        <v>105</v>
      </c>
      <c r="G8" s="7">
        <v>5.5410381518312315E-3</v>
      </c>
      <c r="H8" s="7"/>
      <c r="I8" s="15"/>
      <c r="J8" s="7">
        <v>0.17738489648839303</v>
      </c>
      <c r="K8" s="15"/>
      <c r="L8" s="2" t="s">
        <v>117</v>
      </c>
      <c r="M8" s="2" t="s">
        <v>118</v>
      </c>
      <c r="N8" s="38">
        <v>11</v>
      </c>
      <c r="O8" s="24"/>
      <c r="P8" s="9"/>
      <c r="Q8" s="9">
        <v>0</v>
      </c>
      <c r="R8" s="9"/>
      <c r="S8" s="9">
        <f t="shared" si="0"/>
        <v>11</v>
      </c>
      <c r="T8" s="19">
        <f t="shared" si="1"/>
        <v>2</v>
      </c>
      <c r="U8" s="24">
        <v>8</v>
      </c>
      <c r="V8" s="9">
        <f t="shared" si="2"/>
        <v>0</v>
      </c>
      <c r="W8" s="9">
        <f t="shared" si="3"/>
        <v>36</v>
      </c>
      <c r="X8" s="9">
        <f t="shared" si="4"/>
        <v>0</v>
      </c>
      <c r="Y8" s="9">
        <f t="shared" si="5"/>
        <v>0</v>
      </c>
      <c r="Z8" s="9">
        <f>R8</f>
        <v>0</v>
      </c>
      <c r="AA8" s="9">
        <f t="shared" si="6"/>
        <v>0</v>
      </c>
      <c r="AB8" s="9">
        <f t="shared" si="7"/>
        <v>8</v>
      </c>
      <c r="AC8" s="9">
        <f t="shared" ref="AC8:AC60" si="11">V8</f>
        <v>0</v>
      </c>
      <c r="AD8" s="9">
        <f t="shared" ref="AD8:AD60" si="12">SUM(W8:Z8)*$AD$5</f>
        <v>2.88</v>
      </c>
      <c r="AE8" s="9">
        <f t="shared" ref="AE8:AE60" si="13">(SUM(AA8:AC8)*$AE$5)+0.3</f>
        <v>0.94</v>
      </c>
      <c r="AF8" s="9">
        <f t="shared" si="8"/>
        <v>3.82</v>
      </c>
      <c r="AG8" s="9">
        <f t="shared" si="9"/>
        <v>44</v>
      </c>
      <c r="AH8" s="28">
        <f t="shared" ref="AH8:AH60" si="14">(O$1+U8+V8)-S$1-S$2-S8-V8-AF8-$S$4-$S$3</f>
        <v>18.77</v>
      </c>
      <c r="AI8" s="29">
        <f t="shared" si="10"/>
        <v>0.5213888888888889</v>
      </c>
      <c r="AJ8" s="32"/>
    </row>
    <row r="9" spans="1:36" x14ac:dyDescent="0.2">
      <c r="A9" s="3" t="s">
        <v>133</v>
      </c>
      <c r="B9" s="3" t="s">
        <v>134</v>
      </c>
      <c r="C9" s="3" t="s">
        <v>246</v>
      </c>
      <c r="D9" s="3" t="s">
        <v>105</v>
      </c>
      <c r="G9" s="7">
        <v>2.6088033661842112E-3</v>
      </c>
      <c r="H9" s="7"/>
      <c r="I9" s="15"/>
      <c r="J9" s="7">
        <v>8.3515453672922554E-2</v>
      </c>
      <c r="K9" s="15"/>
      <c r="L9" s="2" t="s">
        <v>117</v>
      </c>
      <c r="M9" s="2" t="s">
        <v>118</v>
      </c>
      <c r="N9" s="38">
        <v>11</v>
      </c>
      <c r="O9" s="24"/>
      <c r="P9" s="9"/>
      <c r="Q9" s="9">
        <v>0</v>
      </c>
      <c r="R9" s="9"/>
      <c r="S9" s="9">
        <f t="shared" si="0"/>
        <v>11</v>
      </c>
      <c r="T9" s="19">
        <f t="shared" si="1"/>
        <v>2</v>
      </c>
      <c r="U9" s="24">
        <v>8</v>
      </c>
      <c r="V9" s="9">
        <f t="shared" si="2"/>
        <v>0</v>
      </c>
      <c r="W9" s="9">
        <f t="shared" si="3"/>
        <v>36</v>
      </c>
      <c r="X9" s="9">
        <f t="shared" si="4"/>
        <v>0</v>
      </c>
      <c r="Y9" s="9">
        <f t="shared" si="5"/>
        <v>0</v>
      </c>
      <c r="Z9" s="9">
        <f>R9</f>
        <v>0</v>
      </c>
      <c r="AA9" s="9">
        <f t="shared" si="6"/>
        <v>0</v>
      </c>
      <c r="AB9" s="9">
        <f t="shared" si="7"/>
        <v>8</v>
      </c>
      <c r="AC9" s="9">
        <f t="shared" si="11"/>
        <v>0</v>
      </c>
      <c r="AD9" s="9">
        <f t="shared" si="12"/>
        <v>2.88</v>
      </c>
      <c r="AE9" s="9">
        <f t="shared" si="13"/>
        <v>0.94</v>
      </c>
      <c r="AF9" s="9">
        <f t="shared" si="8"/>
        <v>3.82</v>
      </c>
      <c r="AG9" s="9">
        <f t="shared" si="9"/>
        <v>44</v>
      </c>
      <c r="AH9" s="28">
        <f t="shared" si="14"/>
        <v>18.77</v>
      </c>
      <c r="AI9" s="29">
        <f t="shared" si="10"/>
        <v>0.5213888888888889</v>
      </c>
      <c r="AJ9" s="32"/>
    </row>
    <row r="10" spans="1:36" x14ac:dyDescent="0.2">
      <c r="A10" s="3" t="s">
        <v>76</v>
      </c>
      <c r="B10" s="3" t="s">
        <v>77</v>
      </c>
      <c r="C10" s="3" t="s">
        <v>327</v>
      </c>
      <c r="D10" s="3" t="s">
        <v>78</v>
      </c>
      <c r="G10" s="7">
        <v>7.2242127204499379E-2</v>
      </c>
      <c r="H10" s="7">
        <v>0.24017780863249269</v>
      </c>
      <c r="I10" s="15"/>
      <c r="J10" s="7"/>
      <c r="K10" s="15"/>
      <c r="L10" s="2" t="s">
        <v>8</v>
      </c>
      <c r="M10" s="2"/>
      <c r="N10" s="38">
        <v>11</v>
      </c>
      <c r="O10" s="38">
        <v>1</v>
      </c>
      <c r="P10" s="9"/>
      <c r="Q10" s="9">
        <v>0.2</v>
      </c>
      <c r="R10" s="9">
        <f t="shared" ref="R10:R38" si="15">IF(O$3="KS",($O$1+U10)/(1+Q10)*Q10,IF(AND(O$3="PM",Q$4="Inclusive"),($O$1+U10)/(1+Q10)*Q10,0))</f>
        <v>0</v>
      </c>
      <c r="S10" s="9">
        <f t="shared" si="0"/>
        <v>12</v>
      </c>
      <c r="T10" s="19">
        <f t="shared" si="1"/>
        <v>3</v>
      </c>
      <c r="U10" s="24">
        <v>8</v>
      </c>
      <c r="V10" s="9">
        <f t="shared" si="2"/>
        <v>8.8000000000000007</v>
      </c>
      <c r="W10" s="9">
        <f t="shared" si="3"/>
        <v>36</v>
      </c>
      <c r="X10" s="9">
        <f t="shared" si="4"/>
        <v>0</v>
      </c>
      <c r="Y10" s="9">
        <f t="shared" si="5"/>
        <v>0</v>
      </c>
      <c r="Z10" s="9">
        <f>R10</f>
        <v>0</v>
      </c>
      <c r="AA10" s="9">
        <f t="shared" si="6"/>
        <v>0</v>
      </c>
      <c r="AB10" s="9">
        <f t="shared" si="7"/>
        <v>8</v>
      </c>
      <c r="AC10" s="9">
        <f t="shared" si="11"/>
        <v>8.8000000000000007</v>
      </c>
      <c r="AD10" s="9">
        <f t="shared" si="12"/>
        <v>2.88</v>
      </c>
      <c r="AE10" s="9">
        <f t="shared" si="13"/>
        <v>1.6440000000000001</v>
      </c>
      <c r="AF10" s="9">
        <f t="shared" si="8"/>
        <v>4.524</v>
      </c>
      <c r="AG10" s="9">
        <f t="shared" si="9"/>
        <v>52.8</v>
      </c>
      <c r="AH10" s="28">
        <f t="shared" si="14"/>
        <v>17.065999999999995</v>
      </c>
      <c r="AI10" s="29">
        <f t="shared" si="10"/>
        <v>0.47405555555555545</v>
      </c>
      <c r="AJ10" s="32" t="s">
        <v>237</v>
      </c>
    </row>
    <row r="11" spans="1:36" x14ac:dyDescent="0.2">
      <c r="A11" s="3" t="s">
        <v>285</v>
      </c>
      <c r="B11" s="3" t="s">
        <v>81</v>
      </c>
      <c r="C11" s="3" t="s">
        <v>328</v>
      </c>
      <c r="D11" s="3" t="s">
        <v>81</v>
      </c>
      <c r="G11" s="7"/>
      <c r="H11" s="7"/>
      <c r="I11" s="15"/>
      <c r="J11" s="7"/>
      <c r="K11" s="15"/>
      <c r="L11" s="2" t="s">
        <v>205</v>
      </c>
      <c r="M11" s="2"/>
      <c r="N11" s="38">
        <f>SUM($K$7:$K$60)</f>
        <v>14.922532537400324</v>
      </c>
      <c r="O11" s="38">
        <v>1</v>
      </c>
      <c r="P11" s="38">
        <v>3</v>
      </c>
      <c r="Q11" s="9">
        <v>0.21038135096521601</v>
      </c>
      <c r="R11" s="9">
        <f t="shared" si="15"/>
        <v>0</v>
      </c>
      <c r="S11" s="9">
        <f t="shared" si="0"/>
        <v>18.922532537400322</v>
      </c>
      <c r="T11" s="19">
        <f t="shared" si="1"/>
        <v>10</v>
      </c>
      <c r="U11" s="24">
        <v>10</v>
      </c>
      <c r="V11" s="9">
        <f t="shared" si="2"/>
        <v>9.6775421443999363</v>
      </c>
      <c r="W11" s="9">
        <f t="shared" si="3"/>
        <v>36</v>
      </c>
      <c r="X11" s="9">
        <f t="shared" si="4"/>
        <v>0</v>
      </c>
      <c r="Y11" s="9">
        <f t="shared" si="5"/>
        <v>0</v>
      </c>
      <c r="Z11" s="9">
        <f>R11</f>
        <v>0</v>
      </c>
      <c r="AA11" s="9">
        <f t="shared" si="6"/>
        <v>0</v>
      </c>
      <c r="AB11" s="9">
        <f t="shared" si="7"/>
        <v>10</v>
      </c>
      <c r="AC11" s="9">
        <f t="shared" ref="AC11" si="16">V11</f>
        <v>9.6775421443999363</v>
      </c>
      <c r="AD11" s="9">
        <f t="shared" ref="AD11" si="17">SUM(W11:Z11)*$AD$5</f>
        <v>2.88</v>
      </c>
      <c r="AE11" s="9">
        <f t="shared" ref="AE11" si="18">(SUM(AA11:AC11)*$AE$5)+0.3</f>
        <v>1.874203371551995</v>
      </c>
      <c r="AF11" s="9">
        <f t="shared" ref="AF11" si="19">SUM(AD11:AE11)</f>
        <v>4.7542033715519949</v>
      </c>
      <c r="AG11" s="9">
        <f t="shared" si="9"/>
        <v>55.677542144399936</v>
      </c>
      <c r="AH11" s="28">
        <f t="shared" si="14"/>
        <v>11.913264091047685</v>
      </c>
      <c r="AI11" s="29">
        <f t="shared" si="10"/>
        <v>0.33092400252910237</v>
      </c>
      <c r="AJ11" s="32"/>
    </row>
    <row r="12" spans="1:36" x14ac:dyDescent="0.2">
      <c r="A12" s="3" t="s">
        <v>79</v>
      </c>
      <c r="B12" s="3" t="s">
        <v>80</v>
      </c>
      <c r="C12" s="3" t="s">
        <v>300</v>
      </c>
      <c r="D12" s="3" t="s">
        <v>81</v>
      </c>
      <c r="G12" s="7">
        <v>6.8511134027954002E-2</v>
      </c>
      <c r="H12" s="7">
        <v>0.2277736644047236</v>
      </c>
      <c r="I12" s="7">
        <v>0.31248586052293248</v>
      </c>
      <c r="J12" s="7"/>
      <c r="K12" s="22">
        <f t="shared" ref="K12:K38" si="20">N12*I12</f>
        <v>3.124858605229325</v>
      </c>
      <c r="L12" s="2" t="s">
        <v>205</v>
      </c>
      <c r="M12" s="44"/>
      <c r="N12" s="38">
        <v>10</v>
      </c>
      <c r="O12" s="38">
        <v>1</v>
      </c>
      <c r="P12" s="38">
        <v>3</v>
      </c>
      <c r="Q12" s="9">
        <v>0.19</v>
      </c>
      <c r="R12" s="9">
        <f t="shared" si="15"/>
        <v>0</v>
      </c>
      <c r="S12" s="9">
        <f t="shared" si="0"/>
        <v>14</v>
      </c>
      <c r="T12" s="19">
        <f t="shared" si="1"/>
        <v>5</v>
      </c>
      <c r="U12" s="24">
        <v>10</v>
      </c>
      <c r="V12" s="9">
        <f t="shared" si="2"/>
        <v>8.74</v>
      </c>
      <c r="W12" s="9">
        <f t="shared" si="3"/>
        <v>36</v>
      </c>
      <c r="X12" s="9">
        <f t="shared" si="4"/>
        <v>0</v>
      </c>
      <c r="Y12" s="9">
        <f t="shared" si="5"/>
        <v>0</v>
      </c>
      <c r="Z12" s="9">
        <f t="shared" ref="Z12:Z60" si="21">R12</f>
        <v>0</v>
      </c>
      <c r="AA12" s="9">
        <f t="shared" si="6"/>
        <v>0</v>
      </c>
      <c r="AB12" s="9">
        <f t="shared" si="7"/>
        <v>10</v>
      </c>
      <c r="AC12" s="9">
        <f t="shared" si="11"/>
        <v>8.74</v>
      </c>
      <c r="AD12" s="9">
        <f t="shared" si="12"/>
        <v>2.88</v>
      </c>
      <c r="AE12" s="9">
        <f t="shared" si="13"/>
        <v>1.7992000000000001</v>
      </c>
      <c r="AF12" s="9">
        <f t="shared" si="8"/>
        <v>4.6791999999999998</v>
      </c>
      <c r="AG12" s="9">
        <f t="shared" si="9"/>
        <v>54.74</v>
      </c>
      <c r="AH12" s="28">
        <f t="shared" si="14"/>
        <v>16.910799999999998</v>
      </c>
      <c r="AI12" s="29">
        <f t="shared" si="10"/>
        <v>0.46974444444444441</v>
      </c>
      <c r="AJ12" s="32" t="s">
        <v>237</v>
      </c>
    </row>
    <row r="13" spans="1:36" x14ac:dyDescent="0.2">
      <c r="A13" s="3" t="s">
        <v>125</v>
      </c>
      <c r="B13" s="3" t="s">
        <v>126</v>
      </c>
      <c r="C13" s="3" t="s">
        <v>301</v>
      </c>
      <c r="D13" s="3" t="s">
        <v>81</v>
      </c>
      <c r="G13" s="7">
        <v>3.5959730756154502E-3</v>
      </c>
      <c r="H13" s="7">
        <v>1.1955253349031679E-2</v>
      </c>
      <c r="I13" s="7">
        <v>1.6401578471792636E-2</v>
      </c>
      <c r="J13" s="7"/>
      <c r="K13" s="22">
        <f t="shared" si="20"/>
        <v>0.22962209860509691</v>
      </c>
      <c r="L13" s="2" t="s">
        <v>205</v>
      </c>
      <c r="M13" s="44"/>
      <c r="N13" s="38">
        <v>14</v>
      </c>
      <c r="O13" s="38">
        <v>1</v>
      </c>
      <c r="P13" s="38">
        <v>3</v>
      </c>
      <c r="Q13" s="9">
        <v>0.2</v>
      </c>
      <c r="R13" s="9">
        <f t="shared" si="15"/>
        <v>0</v>
      </c>
      <c r="S13" s="9">
        <f t="shared" si="0"/>
        <v>18</v>
      </c>
      <c r="T13" s="19">
        <f t="shared" si="1"/>
        <v>9</v>
      </c>
      <c r="U13" s="24">
        <v>10</v>
      </c>
      <c r="V13" s="9">
        <f t="shared" si="2"/>
        <v>9.2000000000000011</v>
      </c>
      <c r="W13" s="9">
        <f t="shared" si="3"/>
        <v>36</v>
      </c>
      <c r="X13" s="9">
        <f t="shared" si="4"/>
        <v>0</v>
      </c>
      <c r="Y13" s="9">
        <f t="shared" si="5"/>
        <v>0</v>
      </c>
      <c r="Z13" s="9">
        <f t="shared" si="21"/>
        <v>0</v>
      </c>
      <c r="AA13" s="9">
        <f t="shared" si="6"/>
        <v>0</v>
      </c>
      <c r="AB13" s="9">
        <f t="shared" si="7"/>
        <v>10</v>
      </c>
      <c r="AC13" s="9">
        <f t="shared" si="11"/>
        <v>9.2000000000000011</v>
      </c>
      <c r="AD13" s="9">
        <f t="shared" si="12"/>
        <v>2.88</v>
      </c>
      <c r="AE13" s="9">
        <f t="shared" si="13"/>
        <v>1.8360000000000003</v>
      </c>
      <c r="AF13" s="9">
        <f t="shared" si="8"/>
        <v>4.7160000000000002</v>
      </c>
      <c r="AG13" s="9">
        <f t="shared" si="9"/>
        <v>55.2</v>
      </c>
      <c r="AH13" s="28">
        <f t="shared" si="14"/>
        <v>12.874000000000001</v>
      </c>
      <c r="AI13" s="29">
        <f t="shared" si="10"/>
        <v>0.3576111111111111</v>
      </c>
      <c r="AJ13" s="32" t="s">
        <v>237</v>
      </c>
    </row>
    <row r="14" spans="1:36" x14ac:dyDescent="0.2">
      <c r="A14" s="3" t="s">
        <v>92</v>
      </c>
      <c r="B14" s="3" t="s">
        <v>93</v>
      </c>
      <c r="C14" s="3" t="s">
        <v>302</v>
      </c>
      <c r="D14" s="3" t="s">
        <v>81</v>
      </c>
      <c r="G14" s="7">
        <v>1.6398373501029961E-2</v>
      </c>
      <c r="H14" s="7">
        <v>5.4518403112155514E-2</v>
      </c>
      <c r="I14" s="7">
        <v>7.4794556057924746E-2</v>
      </c>
      <c r="J14" s="7"/>
      <c r="K14" s="22">
        <f t="shared" si="20"/>
        <v>1.1219183408688711</v>
      </c>
      <c r="L14" s="2" t="s">
        <v>205</v>
      </c>
      <c r="M14" s="44"/>
      <c r="N14" s="38">
        <v>15</v>
      </c>
      <c r="O14" s="38">
        <v>1</v>
      </c>
      <c r="P14" s="38">
        <v>3</v>
      </c>
      <c r="Q14" s="9">
        <v>0.21</v>
      </c>
      <c r="R14" s="9">
        <f t="shared" si="15"/>
        <v>0</v>
      </c>
      <c r="S14" s="9">
        <f t="shared" si="0"/>
        <v>19</v>
      </c>
      <c r="T14" s="19">
        <f t="shared" si="1"/>
        <v>10</v>
      </c>
      <c r="U14" s="24">
        <v>10</v>
      </c>
      <c r="V14" s="9">
        <f t="shared" si="2"/>
        <v>9.66</v>
      </c>
      <c r="W14" s="9">
        <f t="shared" si="3"/>
        <v>36</v>
      </c>
      <c r="X14" s="9">
        <f t="shared" si="4"/>
        <v>0</v>
      </c>
      <c r="Y14" s="9">
        <f t="shared" si="5"/>
        <v>0</v>
      </c>
      <c r="Z14" s="9">
        <f t="shared" si="21"/>
        <v>0</v>
      </c>
      <c r="AA14" s="9">
        <f t="shared" si="6"/>
        <v>0</v>
      </c>
      <c r="AB14" s="9">
        <f t="shared" si="7"/>
        <v>10</v>
      </c>
      <c r="AC14" s="9">
        <f t="shared" si="11"/>
        <v>9.66</v>
      </c>
      <c r="AD14" s="9">
        <f t="shared" si="12"/>
        <v>2.88</v>
      </c>
      <c r="AE14" s="9">
        <f t="shared" si="13"/>
        <v>1.8728</v>
      </c>
      <c r="AF14" s="9">
        <f t="shared" si="8"/>
        <v>4.7527999999999997</v>
      </c>
      <c r="AG14" s="9">
        <f t="shared" si="9"/>
        <v>55.66</v>
      </c>
      <c r="AH14" s="28">
        <f t="shared" si="14"/>
        <v>11.837199999999998</v>
      </c>
      <c r="AI14" s="29">
        <f t="shared" si="10"/>
        <v>0.32881111111111105</v>
      </c>
      <c r="AJ14" s="32" t="s">
        <v>237</v>
      </c>
    </row>
    <row r="15" spans="1:36" x14ac:dyDescent="0.2">
      <c r="A15" s="3" t="s">
        <v>99</v>
      </c>
      <c r="B15" s="3" t="s">
        <v>100</v>
      </c>
      <c r="C15" s="3" t="s">
        <v>303</v>
      </c>
      <c r="D15" s="3" t="s">
        <v>81</v>
      </c>
      <c r="G15" s="7">
        <v>1.1601740062214752E-2</v>
      </c>
      <c r="H15" s="7">
        <v>3.8571407187093336E-2</v>
      </c>
      <c r="I15" s="7">
        <v>5.2916650385984344E-2</v>
      </c>
      <c r="J15" s="7"/>
      <c r="K15" s="22">
        <f t="shared" si="20"/>
        <v>0.79374975578976514</v>
      </c>
      <c r="L15" s="2" t="s">
        <v>205</v>
      </c>
      <c r="M15" s="44"/>
      <c r="N15" s="38">
        <v>15</v>
      </c>
      <c r="O15" s="38">
        <v>1</v>
      </c>
      <c r="P15" s="38">
        <v>3</v>
      </c>
      <c r="Q15" s="9">
        <v>0.21</v>
      </c>
      <c r="R15" s="9">
        <f t="shared" si="15"/>
        <v>0</v>
      </c>
      <c r="S15" s="9">
        <f t="shared" si="0"/>
        <v>19</v>
      </c>
      <c r="T15" s="19">
        <f t="shared" si="1"/>
        <v>10</v>
      </c>
      <c r="U15" s="24">
        <v>10</v>
      </c>
      <c r="V15" s="9">
        <f t="shared" si="2"/>
        <v>9.66</v>
      </c>
      <c r="W15" s="9">
        <f t="shared" si="3"/>
        <v>36</v>
      </c>
      <c r="X15" s="9">
        <f t="shared" si="4"/>
        <v>0</v>
      </c>
      <c r="Y15" s="9">
        <f t="shared" si="5"/>
        <v>0</v>
      </c>
      <c r="Z15" s="9">
        <f t="shared" si="21"/>
        <v>0</v>
      </c>
      <c r="AA15" s="9">
        <f t="shared" si="6"/>
        <v>0</v>
      </c>
      <c r="AB15" s="9">
        <f t="shared" si="7"/>
        <v>10</v>
      </c>
      <c r="AC15" s="9">
        <f t="shared" si="11"/>
        <v>9.66</v>
      </c>
      <c r="AD15" s="9">
        <f t="shared" si="12"/>
        <v>2.88</v>
      </c>
      <c r="AE15" s="9">
        <f t="shared" si="13"/>
        <v>1.8728</v>
      </c>
      <c r="AF15" s="9">
        <f t="shared" si="8"/>
        <v>4.7527999999999997</v>
      </c>
      <c r="AG15" s="9">
        <f t="shared" si="9"/>
        <v>55.66</v>
      </c>
      <c r="AH15" s="28">
        <f t="shared" si="14"/>
        <v>11.837199999999998</v>
      </c>
      <c r="AI15" s="29">
        <f t="shared" si="10"/>
        <v>0.32881111111111105</v>
      </c>
      <c r="AJ15" s="32" t="s">
        <v>237</v>
      </c>
    </row>
    <row r="16" spans="1:36" x14ac:dyDescent="0.2">
      <c r="A16" s="3" t="s">
        <v>119</v>
      </c>
      <c r="B16" s="3" t="s">
        <v>120</v>
      </c>
      <c r="C16" s="3" t="s">
        <v>304</v>
      </c>
      <c r="D16" s="3" t="s">
        <v>81</v>
      </c>
      <c r="G16" s="7">
        <v>4.7444756311418694E-3</v>
      </c>
      <c r="H16" s="7">
        <v>1.5773590899008653E-2</v>
      </c>
      <c r="I16" s="7">
        <v>2.1640008903115304E-2</v>
      </c>
      <c r="J16" s="7"/>
      <c r="K16" s="22">
        <f t="shared" si="20"/>
        <v>0.32460013354672956</v>
      </c>
      <c r="L16" s="2" t="s">
        <v>205</v>
      </c>
      <c r="M16" s="44"/>
      <c r="N16" s="38">
        <v>15</v>
      </c>
      <c r="O16" s="38">
        <v>1</v>
      </c>
      <c r="P16" s="38">
        <v>3</v>
      </c>
      <c r="Q16" s="9">
        <v>0.21</v>
      </c>
      <c r="R16" s="9">
        <f t="shared" si="15"/>
        <v>0</v>
      </c>
      <c r="S16" s="9">
        <f t="shared" si="0"/>
        <v>19</v>
      </c>
      <c r="T16" s="19">
        <f t="shared" si="1"/>
        <v>10</v>
      </c>
      <c r="U16" s="24">
        <v>10</v>
      </c>
      <c r="V16" s="9">
        <f t="shared" si="2"/>
        <v>9.66</v>
      </c>
      <c r="W16" s="9">
        <f t="shared" si="3"/>
        <v>36</v>
      </c>
      <c r="X16" s="9">
        <f t="shared" si="4"/>
        <v>0</v>
      </c>
      <c r="Y16" s="9">
        <f t="shared" si="5"/>
        <v>0</v>
      </c>
      <c r="Z16" s="9">
        <f t="shared" si="21"/>
        <v>0</v>
      </c>
      <c r="AA16" s="9">
        <f t="shared" si="6"/>
        <v>0</v>
      </c>
      <c r="AB16" s="9">
        <f t="shared" si="7"/>
        <v>10</v>
      </c>
      <c r="AC16" s="9">
        <f t="shared" si="11"/>
        <v>9.66</v>
      </c>
      <c r="AD16" s="9">
        <f t="shared" si="12"/>
        <v>2.88</v>
      </c>
      <c r="AE16" s="9">
        <f t="shared" si="13"/>
        <v>1.8728</v>
      </c>
      <c r="AF16" s="9">
        <f t="shared" si="8"/>
        <v>4.7527999999999997</v>
      </c>
      <c r="AG16" s="9">
        <f t="shared" si="9"/>
        <v>55.66</v>
      </c>
      <c r="AH16" s="28">
        <f t="shared" si="14"/>
        <v>11.837199999999998</v>
      </c>
      <c r="AI16" s="29">
        <f t="shared" si="10"/>
        <v>0.32881111111111105</v>
      </c>
      <c r="AJ16" s="32" t="s">
        <v>237</v>
      </c>
    </row>
    <row r="17" spans="1:36" x14ac:dyDescent="0.2">
      <c r="A17" s="3" t="s">
        <v>139</v>
      </c>
      <c r="B17" s="3" t="s">
        <v>140</v>
      </c>
      <c r="C17" s="3" t="s">
        <v>305</v>
      </c>
      <c r="D17" s="3" t="s">
        <v>81</v>
      </c>
      <c r="G17" s="7">
        <v>2.0028480342367265E-3</v>
      </c>
      <c r="H17" s="7">
        <v>6.6587138350061295E-3</v>
      </c>
      <c r="I17" s="7">
        <v>9.1351821912590489E-3</v>
      </c>
      <c r="J17" s="7"/>
      <c r="K17" s="22">
        <f t="shared" si="20"/>
        <v>0.14616291506014478</v>
      </c>
      <c r="L17" s="2" t="s">
        <v>205</v>
      </c>
      <c r="M17" s="44"/>
      <c r="N17" s="38">
        <v>16</v>
      </c>
      <c r="O17" s="38">
        <v>1</v>
      </c>
      <c r="P17" s="38">
        <v>3</v>
      </c>
      <c r="Q17" s="9">
        <v>0.17</v>
      </c>
      <c r="R17" s="9">
        <f t="shared" si="15"/>
        <v>0</v>
      </c>
      <c r="S17" s="9">
        <f t="shared" si="0"/>
        <v>20</v>
      </c>
      <c r="T17" s="19">
        <f t="shared" si="1"/>
        <v>11</v>
      </c>
      <c r="U17" s="24">
        <v>10</v>
      </c>
      <c r="V17" s="9">
        <f t="shared" si="2"/>
        <v>7.82</v>
      </c>
      <c r="W17" s="9">
        <f t="shared" si="3"/>
        <v>36</v>
      </c>
      <c r="X17" s="9">
        <f t="shared" si="4"/>
        <v>0</v>
      </c>
      <c r="Y17" s="9">
        <f t="shared" si="5"/>
        <v>0</v>
      </c>
      <c r="Z17" s="9">
        <f t="shared" si="21"/>
        <v>0</v>
      </c>
      <c r="AA17" s="9">
        <f t="shared" si="6"/>
        <v>0</v>
      </c>
      <c r="AB17" s="9">
        <f t="shared" si="7"/>
        <v>10</v>
      </c>
      <c r="AC17" s="9">
        <f t="shared" si="11"/>
        <v>7.82</v>
      </c>
      <c r="AD17" s="9">
        <f t="shared" si="12"/>
        <v>2.88</v>
      </c>
      <c r="AE17" s="9">
        <f t="shared" si="13"/>
        <v>1.7256</v>
      </c>
      <c r="AF17" s="9">
        <f t="shared" si="8"/>
        <v>4.6055999999999999</v>
      </c>
      <c r="AG17" s="9">
        <f t="shared" si="9"/>
        <v>53.82</v>
      </c>
      <c r="AH17" s="28">
        <f t="shared" si="14"/>
        <v>10.984400000000003</v>
      </c>
      <c r="AI17" s="29">
        <f t="shared" si="10"/>
        <v>0.30512222222222229</v>
      </c>
      <c r="AJ17" s="32" t="s">
        <v>237</v>
      </c>
    </row>
    <row r="18" spans="1:36" x14ac:dyDescent="0.2">
      <c r="A18" s="3" t="s">
        <v>89</v>
      </c>
      <c r="B18" s="3" t="s">
        <v>90</v>
      </c>
      <c r="C18" s="3" t="s">
        <v>306</v>
      </c>
      <c r="D18" s="3" t="s">
        <v>81</v>
      </c>
      <c r="G18" s="7">
        <v>3.5076110934797497E-2</v>
      </c>
      <c r="H18" s="7">
        <v>0.11661483106418249</v>
      </c>
      <c r="I18" s="7">
        <v>0.15998550987034901</v>
      </c>
      <c r="J18" s="7"/>
      <c r="K18" s="22">
        <f t="shared" si="20"/>
        <v>2.7197536677959331</v>
      </c>
      <c r="L18" s="2" t="s">
        <v>205</v>
      </c>
      <c r="M18" s="44"/>
      <c r="N18" s="38">
        <v>17</v>
      </c>
      <c r="O18" s="38">
        <v>1</v>
      </c>
      <c r="P18" s="38">
        <v>3</v>
      </c>
      <c r="Q18" s="9">
        <v>0.2</v>
      </c>
      <c r="R18" s="9">
        <f t="shared" si="15"/>
        <v>0</v>
      </c>
      <c r="S18" s="9">
        <f t="shared" si="0"/>
        <v>21</v>
      </c>
      <c r="T18" s="19">
        <f t="shared" si="1"/>
        <v>12</v>
      </c>
      <c r="U18" s="24">
        <v>10</v>
      </c>
      <c r="V18" s="9">
        <f t="shared" si="2"/>
        <v>9.2000000000000011</v>
      </c>
      <c r="W18" s="9">
        <f t="shared" si="3"/>
        <v>36</v>
      </c>
      <c r="X18" s="9">
        <f t="shared" si="4"/>
        <v>0</v>
      </c>
      <c r="Y18" s="9">
        <f t="shared" si="5"/>
        <v>0</v>
      </c>
      <c r="Z18" s="9">
        <f t="shared" si="21"/>
        <v>0</v>
      </c>
      <c r="AA18" s="9">
        <f t="shared" si="6"/>
        <v>0</v>
      </c>
      <c r="AB18" s="9">
        <f t="shared" si="7"/>
        <v>10</v>
      </c>
      <c r="AC18" s="9">
        <f t="shared" si="11"/>
        <v>9.2000000000000011</v>
      </c>
      <c r="AD18" s="9">
        <f t="shared" si="12"/>
        <v>2.88</v>
      </c>
      <c r="AE18" s="9">
        <f t="shared" si="13"/>
        <v>1.8360000000000003</v>
      </c>
      <c r="AF18" s="9">
        <f t="shared" si="8"/>
        <v>4.7160000000000002</v>
      </c>
      <c r="AG18" s="9">
        <f t="shared" si="9"/>
        <v>55.2</v>
      </c>
      <c r="AH18" s="28">
        <f t="shared" si="14"/>
        <v>9.8740000000000006</v>
      </c>
      <c r="AI18" s="29">
        <f t="shared" si="10"/>
        <v>0.27427777777777779</v>
      </c>
      <c r="AJ18" s="32" t="s">
        <v>237</v>
      </c>
    </row>
    <row r="19" spans="1:36" x14ac:dyDescent="0.2">
      <c r="A19" s="3" t="s">
        <v>95</v>
      </c>
      <c r="B19" s="3" t="s">
        <v>96</v>
      </c>
      <c r="C19" s="3" t="s">
        <v>307</v>
      </c>
      <c r="D19" s="3" t="s">
        <v>81</v>
      </c>
      <c r="G19" s="7">
        <v>1.6092200396246193E-2</v>
      </c>
      <c r="H19" s="7">
        <v>5.350049308908808E-2</v>
      </c>
      <c r="I19" s="7">
        <v>7.3398071129237144E-2</v>
      </c>
      <c r="J19" s="7"/>
      <c r="K19" s="22">
        <f t="shared" si="20"/>
        <v>1.2477672091970315</v>
      </c>
      <c r="L19" s="2" t="s">
        <v>205</v>
      </c>
      <c r="M19" s="44"/>
      <c r="N19" s="38">
        <v>17</v>
      </c>
      <c r="O19" s="38">
        <v>1</v>
      </c>
      <c r="P19" s="38">
        <v>3</v>
      </c>
      <c r="Q19" s="9">
        <v>0.25</v>
      </c>
      <c r="R19" s="9">
        <f t="shared" si="15"/>
        <v>0</v>
      </c>
      <c r="S19" s="9">
        <f t="shared" si="0"/>
        <v>21</v>
      </c>
      <c r="T19" s="19">
        <f t="shared" si="1"/>
        <v>12</v>
      </c>
      <c r="U19" s="24">
        <v>10</v>
      </c>
      <c r="V19" s="9">
        <f t="shared" si="2"/>
        <v>11.5</v>
      </c>
      <c r="W19" s="9">
        <f t="shared" si="3"/>
        <v>36</v>
      </c>
      <c r="X19" s="9">
        <f t="shared" si="4"/>
        <v>0</v>
      </c>
      <c r="Y19" s="9">
        <f t="shared" si="5"/>
        <v>0</v>
      </c>
      <c r="Z19" s="9">
        <f t="shared" si="21"/>
        <v>0</v>
      </c>
      <c r="AA19" s="9">
        <f t="shared" si="6"/>
        <v>0</v>
      </c>
      <c r="AB19" s="9">
        <f t="shared" si="7"/>
        <v>10</v>
      </c>
      <c r="AC19" s="9">
        <f t="shared" si="11"/>
        <v>11.5</v>
      </c>
      <c r="AD19" s="9">
        <f t="shared" si="12"/>
        <v>2.88</v>
      </c>
      <c r="AE19" s="9">
        <f t="shared" si="13"/>
        <v>2.02</v>
      </c>
      <c r="AF19" s="9">
        <f t="shared" si="8"/>
        <v>4.9000000000000004</v>
      </c>
      <c r="AG19" s="9">
        <f t="shared" si="9"/>
        <v>57.5</v>
      </c>
      <c r="AH19" s="28">
        <f t="shared" si="14"/>
        <v>9.6900000000000013</v>
      </c>
      <c r="AI19" s="29">
        <f t="shared" si="10"/>
        <v>0.26916666666666672</v>
      </c>
      <c r="AJ19" s="32" t="s">
        <v>237</v>
      </c>
    </row>
    <row r="20" spans="1:36" x14ac:dyDescent="0.2">
      <c r="A20" s="3" t="s">
        <v>97</v>
      </c>
      <c r="B20" s="3" t="s">
        <v>98</v>
      </c>
      <c r="C20" s="3" t="s">
        <v>308</v>
      </c>
      <c r="D20" s="3" t="s">
        <v>81</v>
      </c>
      <c r="G20" s="7">
        <v>1.3356197949688654E-2</v>
      </c>
      <c r="H20" s="7">
        <v>4.4404317527048418E-2</v>
      </c>
      <c r="I20" s="7">
        <v>6.0918901268225377E-2</v>
      </c>
      <c r="J20" s="7"/>
      <c r="K20" s="22">
        <f t="shared" si="20"/>
        <v>1.0965402228280567</v>
      </c>
      <c r="L20" s="2" t="s">
        <v>205</v>
      </c>
      <c r="M20" s="44"/>
      <c r="N20" s="38">
        <v>18</v>
      </c>
      <c r="O20" s="38">
        <v>1</v>
      </c>
      <c r="P20" s="38">
        <v>3</v>
      </c>
      <c r="Q20" s="9">
        <v>0.25</v>
      </c>
      <c r="R20" s="9">
        <f t="shared" si="15"/>
        <v>0</v>
      </c>
      <c r="S20" s="9">
        <f t="shared" si="0"/>
        <v>22</v>
      </c>
      <c r="T20" s="19">
        <f t="shared" si="1"/>
        <v>13</v>
      </c>
      <c r="U20" s="24">
        <v>10</v>
      </c>
      <c r="V20" s="9">
        <f t="shared" si="2"/>
        <v>11.5</v>
      </c>
      <c r="W20" s="9">
        <f t="shared" si="3"/>
        <v>36</v>
      </c>
      <c r="X20" s="9">
        <f t="shared" si="4"/>
        <v>0</v>
      </c>
      <c r="Y20" s="9">
        <f t="shared" si="5"/>
        <v>0</v>
      </c>
      <c r="Z20" s="9">
        <f t="shared" si="21"/>
        <v>0</v>
      </c>
      <c r="AA20" s="9">
        <f t="shared" si="6"/>
        <v>0</v>
      </c>
      <c r="AB20" s="9">
        <f t="shared" si="7"/>
        <v>10</v>
      </c>
      <c r="AC20" s="9">
        <f t="shared" si="11"/>
        <v>11.5</v>
      </c>
      <c r="AD20" s="9">
        <f t="shared" si="12"/>
        <v>2.88</v>
      </c>
      <c r="AE20" s="9">
        <f t="shared" si="13"/>
        <v>2.02</v>
      </c>
      <c r="AF20" s="9">
        <f t="shared" si="8"/>
        <v>4.9000000000000004</v>
      </c>
      <c r="AG20" s="9">
        <f t="shared" si="9"/>
        <v>57.5</v>
      </c>
      <c r="AH20" s="28">
        <f t="shared" si="14"/>
        <v>8.6900000000000013</v>
      </c>
      <c r="AI20" s="29">
        <f t="shared" si="10"/>
        <v>0.24138888888888893</v>
      </c>
      <c r="AJ20" s="32" t="s">
        <v>237</v>
      </c>
    </row>
    <row r="21" spans="1:36" x14ac:dyDescent="0.2">
      <c r="A21" s="3" t="s">
        <v>110</v>
      </c>
      <c r="B21" s="3" t="s">
        <v>111</v>
      </c>
      <c r="C21" s="3" t="s">
        <v>309</v>
      </c>
      <c r="D21" s="3" t="s">
        <v>81</v>
      </c>
      <c r="G21" s="7">
        <v>6.7067990220366887E-3</v>
      </c>
      <c r="H21" s="7">
        <v>2.2297575588983928E-2</v>
      </c>
      <c r="I21" s="7">
        <v>3.0590354305044403E-2</v>
      </c>
      <c r="J21" s="7"/>
      <c r="K21" s="22">
        <f t="shared" si="20"/>
        <v>0.55062637749079923</v>
      </c>
      <c r="L21" s="2" t="s">
        <v>205</v>
      </c>
      <c r="M21" s="44"/>
      <c r="N21" s="38">
        <v>18</v>
      </c>
      <c r="O21" s="38">
        <v>1</v>
      </c>
      <c r="P21" s="38">
        <v>3</v>
      </c>
      <c r="Q21" s="9">
        <v>0.23</v>
      </c>
      <c r="R21" s="9">
        <f t="shared" si="15"/>
        <v>0</v>
      </c>
      <c r="S21" s="9">
        <f t="shared" si="0"/>
        <v>22</v>
      </c>
      <c r="T21" s="19">
        <f t="shared" si="1"/>
        <v>13</v>
      </c>
      <c r="U21" s="24">
        <v>10</v>
      </c>
      <c r="V21" s="9">
        <f t="shared" si="2"/>
        <v>10.58</v>
      </c>
      <c r="W21" s="9">
        <f t="shared" si="3"/>
        <v>36</v>
      </c>
      <c r="X21" s="9">
        <f t="shared" si="4"/>
        <v>0</v>
      </c>
      <c r="Y21" s="9">
        <f t="shared" si="5"/>
        <v>0</v>
      </c>
      <c r="Z21" s="9">
        <f t="shared" si="21"/>
        <v>0</v>
      </c>
      <c r="AA21" s="9">
        <f t="shared" si="6"/>
        <v>0</v>
      </c>
      <c r="AB21" s="9">
        <f t="shared" si="7"/>
        <v>10</v>
      </c>
      <c r="AC21" s="9">
        <f t="shared" si="11"/>
        <v>10.58</v>
      </c>
      <c r="AD21" s="9">
        <f t="shared" si="12"/>
        <v>2.88</v>
      </c>
      <c r="AE21" s="9">
        <f t="shared" si="13"/>
        <v>1.9463999999999999</v>
      </c>
      <c r="AF21" s="9">
        <f t="shared" si="8"/>
        <v>4.8263999999999996</v>
      </c>
      <c r="AG21" s="9">
        <f t="shared" si="9"/>
        <v>56.58</v>
      </c>
      <c r="AH21" s="28">
        <f t="shared" si="14"/>
        <v>8.7636000000000021</v>
      </c>
      <c r="AI21" s="29">
        <f t="shared" si="10"/>
        <v>0.24343333333333339</v>
      </c>
      <c r="AJ21" s="32" t="s">
        <v>237</v>
      </c>
    </row>
    <row r="22" spans="1:36" x14ac:dyDescent="0.2">
      <c r="A22" s="3" t="s">
        <v>101</v>
      </c>
      <c r="B22" s="3" t="s">
        <v>102</v>
      </c>
      <c r="C22" s="39" t="s">
        <v>310</v>
      </c>
      <c r="D22" s="3" t="s">
        <v>81</v>
      </c>
      <c r="G22" s="7">
        <v>9.5294759056256447E-3</v>
      </c>
      <c r="H22" s="7">
        <v>3.1681910943048161E-2</v>
      </c>
      <c r="I22" s="7">
        <v>4.3464854595560549E-2</v>
      </c>
      <c r="J22" s="7"/>
      <c r="K22" s="22">
        <f t="shared" si="20"/>
        <v>0.82583223731565047</v>
      </c>
      <c r="L22" s="2" t="s">
        <v>205</v>
      </c>
      <c r="M22" s="44"/>
      <c r="N22" s="38">
        <v>19</v>
      </c>
      <c r="O22" s="38">
        <v>1</v>
      </c>
      <c r="P22" s="38">
        <v>3</v>
      </c>
      <c r="Q22" s="9">
        <v>0.21</v>
      </c>
      <c r="R22" s="9">
        <f t="shared" si="15"/>
        <v>0</v>
      </c>
      <c r="S22" s="9">
        <f t="shared" si="0"/>
        <v>23</v>
      </c>
      <c r="T22" s="19">
        <f t="shared" si="1"/>
        <v>14</v>
      </c>
      <c r="U22" s="24">
        <v>10</v>
      </c>
      <c r="V22" s="9">
        <f t="shared" si="2"/>
        <v>9.66</v>
      </c>
      <c r="W22" s="9">
        <f t="shared" si="3"/>
        <v>36</v>
      </c>
      <c r="X22" s="9">
        <f t="shared" si="4"/>
        <v>0</v>
      </c>
      <c r="Y22" s="9">
        <f t="shared" si="5"/>
        <v>0</v>
      </c>
      <c r="Z22" s="9">
        <f t="shared" si="21"/>
        <v>0</v>
      </c>
      <c r="AA22" s="9">
        <f t="shared" si="6"/>
        <v>0</v>
      </c>
      <c r="AB22" s="9">
        <f t="shared" si="7"/>
        <v>10</v>
      </c>
      <c r="AC22" s="9">
        <f t="shared" si="11"/>
        <v>9.66</v>
      </c>
      <c r="AD22" s="9">
        <f t="shared" si="12"/>
        <v>2.88</v>
      </c>
      <c r="AE22" s="9">
        <f t="shared" si="13"/>
        <v>1.8728</v>
      </c>
      <c r="AF22" s="9">
        <f t="shared" si="8"/>
        <v>4.7527999999999997</v>
      </c>
      <c r="AG22" s="9">
        <f t="shared" si="9"/>
        <v>55.66</v>
      </c>
      <c r="AH22" s="28">
        <f t="shared" si="14"/>
        <v>7.8371999999999975</v>
      </c>
      <c r="AI22" s="29">
        <f t="shared" si="10"/>
        <v>0.21769999999999992</v>
      </c>
      <c r="AJ22" s="32" t="s">
        <v>237</v>
      </c>
    </row>
    <row r="23" spans="1:36" x14ac:dyDescent="0.2">
      <c r="A23" s="3" t="s">
        <v>121</v>
      </c>
      <c r="B23" s="3" t="s">
        <v>122</v>
      </c>
      <c r="C23" s="3" t="s">
        <v>311</v>
      </c>
      <c r="D23" s="3" t="s">
        <v>81</v>
      </c>
      <c r="G23" s="7">
        <v>4.3347526382838657E-3</v>
      </c>
      <c r="H23" s="7">
        <v>1.4411416578028071E-2</v>
      </c>
      <c r="I23" s="7">
        <v>1.9771222992389835E-2</v>
      </c>
      <c r="J23" s="7"/>
      <c r="K23" s="22">
        <f t="shared" si="20"/>
        <v>0.37565323685540686</v>
      </c>
      <c r="L23" s="2" t="s">
        <v>205</v>
      </c>
      <c r="M23" s="44"/>
      <c r="N23" s="38">
        <v>19</v>
      </c>
      <c r="O23" s="38">
        <v>1</v>
      </c>
      <c r="P23" s="38">
        <v>3</v>
      </c>
      <c r="Q23" s="9">
        <v>0.22</v>
      </c>
      <c r="R23" s="9">
        <f t="shared" si="15"/>
        <v>0</v>
      </c>
      <c r="S23" s="9">
        <f t="shared" si="0"/>
        <v>23</v>
      </c>
      <c r="T23" s="19">
        <f t="shared" si="1"/>
        <v>14</v>
      </c>
      <c r="U23" s="24">
        <v>10</v>
      </c>
      <c r="V23" s="9">
        <f t="shared" si="2"/>
        <v>10.119999999999999</v>
      </c>
      <c r="W23" s="9">
        <f t="shared" si="3"/>
        <v>36</v>
      </c>
      <c r="X23" s="9">
        <f t="shared" si="4"/>
        <v>0</v>
      </c>
      <c r="Y23" s="9">
        <f t="shared" si="5"/>
        <v>0</v>
      </c>
      <c r="Z23" s="9">
        <f t="shared" si="21"/>
        <v>0</v>
      </c>
      <c r="AA23" s="9">
        <f t="shared" si="6"/>
        <v>0</v>
      </c>
      <c r="AB23" s="9">
        <f t="shared" si="7"/>
        <v>10</v>
      </c>
      <c r="AC23" s="9">
        <f t="shared" si="11"/>
        <v>10.119999999999999</v>
      </c>
      <c r="AD23" s="9">
        <f t="shared" si="12"/>
        <v>2.88</v>
      </c>
      <c r="AE23" s="9">
        <f t="shared" si="13"/>
        <v>1.9096</v>
      </c>
      <c r="AF23" s="9">
        <f t="shared" si="8"/>
        <v>4.7896000000000001</v>
      </c>
      <c r="AG23" s="9">
        <f t="shared" si="9"/>
        <v>56.12</v>
      </c>
      <c r="AH23" s="28">
        <f t="shared" si="14"/>
        <v>7.8004000000000016</v>
      </c>
      <c r="AI23" s="29">
        <f t="shared" si="10"/>
        <v>0.21667777777777783</v>
      </c>
      <c r="AJ23" s="32" t="s">
        <v>237</v>
      </c>
    </row>
    <row r="24" spans="1:36" x14ac:dyDescent="0.2">
      <c r="A24" s="3" t="s">
        <v>127</v>
      </c>
      <c r="B24" s="3" t="s">
        <v>128</v>
      </c>
      <c r="C24" s="3" t="s">
        <v>312</v>
      </c>
      <c r="D24" s="3" t="s">
        <v>81</v>
      </c>
      <c r="G24" s="7">
        <v>3.3419577785050222E-3</v>
      </c>
      <c r="H24" s="7">
        <v>1.1110748352017771E-2</v>
      </c>
      <c r="I24" s="7">
        <v>1.5242990311930132E-2</v>
      </c>
      <c r="J24" s="7"/>
      <c r="K24" s="22">
        <f t="shared" si="20"/>
        <v>0.28961681592667254</v>
      </c>
      <c r="L24" s="2" t="s">
        <v>205</v>
      </c>
      <c r="M24" s="44"/>
      <c r="N24" s="38">
        <v>19</v>
      </c>
      <c r="O24" s="38">
        <v>1</v>
      </c>
      <c r="P24" s="38">
        <v>3</v>
      </c>
      <c r="Q24" s="9">
        <v>0.27</v>
      </c>
      <c r="R24" s="9">
        <f t="shared" si="15"/>
        <v>0</v>
      </c>
      <c r="S24" s="9">
        <f t="shared" si="0"/>
        <v>23</v>
      </c>
      <c r="T24" s="19">
        <f t="shared" si="1"/>
        <v>14</v>
      </c>
      <c r="U24" s="24">
        <v>10</v>
      </c>
      <c r="V24" s="9">
        <f t="shared" si="2"/>
        <v>12.420000000000002</v>
      </c>
      <c r="W24" s="9">
        <f t="shared" si="3"/>
        <v>36</v>
      </c>
      <c r="X24" s="9">
        <f t="shared" si="4"/>
        <v>0</v>
      </c>
      <c r="Y24" s="9">
        <f t="shared" si="5"/>
        <v>0</v>
      </c>
      <c r="Z24" s="9">
        <f t="shared" si="21"/>
        <v>0</v>
      </c>
      <c r="AA24" s="9">
        <f t="shared" si="6"/>
        <v>0</v>
      </c>
      <c r="AB24" s="9">
        <f t="shared" si="7"/>
        <v>10</v>
      </c>
      <c r="AC24" s="9">
        <f t="shared" si="11"/>
        <v>12.420000000000002</v>
      </c>
      <c r="AD24" s="9">
        <f t="shared" si="12"/>
        <v>2.88</v>
      </c>
      <c r="AE24" s="9">
        <f t="shared" si="13"/>
        <v>2.0935999999999999</v>
      </c>
      <c r="AF24" s="9">
        <f t="shared" si="8"/>
        <v>4.9735999999999994</v>
      </c>
      <c r="AG24" s="9">
        <f t="shared" si="9"/>
        <v>58.42</v>
      </c>
      <c r="AH24" s="28">
        <f t="shared" si="14"/>
        <v>7.6164000000000023</v>
      </c>
      <c r="AI24" s="29">
        <f t="shared" si="10"/>
        <v>0.21156666666666674</v>
      </c>
      <c r="AJ24" s="32" t="s">
        <v>237</v>
      </c>
    </row>
    <row r="25" spans="1:36" x14ac:dyDescent="0.2">
      <c r="A25" s="3" t="s">
        <v>152</v>
      </c>
      <c r="B25" s="3" t="s">
        <v>153</v>
      </c>
      <c r="C25" s="3" t="s">
        <v>313</v>
      </c>
      <c r="D25" s="3" t="s">
        <v>81</v>
      </c>
      <c r="G25" s="7">
        <v>1.3563680589473346E-3</v>
      </c>
      <c r="H25" s="7">
        <v>4.5094118999971658E-3</v>
      </c>
      <c r="I25" s="7">
        <v>6.1865249510107273E-3</v>
      </c>
      <c r="J25" s="7"/>
      <c r="K25" s="22">
        <f t="shared" si="20"/>
        <v>0.11754397406920382</v>
      </c>
      <c r="L25" s="2" t="s">
        <v>205</v>
      </c>
      <c r="M25" s="44"/>
      <c r="N25" s="38">
        <v>19</v>
      </c>
      <c r="O25" s="38">
        <v>1</v>
      </c>
      <c r="P25" s="38">
        <v>3</v>
      </c>
      <c r="Q25" s="9">
        <v>0.22</v>
      </c>
      <c r="R25" s="9">
        <f t="shared" si="15"/>
        <v>0</v>
      </c>
      <c r="S25" s="9">
        <f t="shared" si="0"/>
        <v>23</v>
      </c>
      <c r="T25" s="19">
        <f t="shared" si="1"/>
        <v>14</v>
      </c>
      <c r="U25" s="24">
        <v>10</v>
      </c>
      <c r="V25" s="9">
        <f t="shared" si="2"/>
        <v>10.119999999999999</v>
      </c>
      <c r="W25" s="9">
        <f t="shared" si="3"/>
        <v>36</v>
      </c>
      <c r="X25" s="9">
        <f t="shared" si="4"/>
        <v>0</v>
      </c>
      <c r="Y25" s="9">
        <f t="shared" si="5"/>
        <v>0</v>
      </c>
      <c r="Z25" s="9">
        <f t="shared" si="21"/>
        <v>0</v>
      </c>
      <c r="AA25" s="9">
        <f t="shared" si="6"/>
        <v>0</v>
      </c>
      <c r="AB25" s="9">
        <f t="shared" si="7"/>
        <v>10</v>
      </c>
      <c r="AC25" s="9">
        <f t="shared" si="11"/>
        <v>10.119999999999999</v>
      </c>
      <c r="AD25" s="9">
        <f t="shared" si="12"/>
        <v>2.88</v>
      </c>
      <c r="AE25" s="9">
        <f t="shared" si="13"/>
        <v>1.9096</v>
      </c>
      <c r="AF25" s="9">
        <f t="shared" si="8"/>
        <v>4.7896000000000001</v>
      </c>
      <c r="AG25" s="9">
        <f t="shared" si="9"/>
        <v>56.12</v>
      </c>
      <c r="AH25" s="28">
        <f t="shared" si="14"/>
        <v>7.8004000000000016</v>
      </c>
      <c r="AI25" s="29">
        <f t="shared" si="10"/>
        <v>0.21667777777777783</v>
      </c>
      <c r="AJ25" s="32" t="s">
        <v>237</v>
      </c>
    </row>
    <row r="26" spans="1:36" x14ac:dyDescent="0.2">
      <c r="A26" s="3" t="s">
        <v>158</v>
      </c>
      <c r="B26" s="3" t="s">
        <v>159</v>
      </c>
      <c r="C26" s="3" t="s">
        <v>314</v>
      </c>
      <c r="D26" s="3" t="s">
        <v>81</v>
      </c>
      <c r="G26" s="7">
        <v>1.0100531744578827E-3</v>
      </c>
      <c r="H26" s="7">
        <v>3.3580456089958269E-3</v>
      </c>
      <c r="I26" s="7">
        <v>4.6069495107993463E-3</v>
      </c>
      <c r="J26" s="7"/>
      <c r="K26" s="22">
        <f t="shared" si="20"/>
        <v>8.753204070518758E-2</v>
      </c>
      <c r="L26" s="2" t="s">
        <v>205</v>
      </c>
      <c r="M26" s="44"/>
      <c r="N26" s="38">
        <v>19</v>
      </c>
      <c r="O26" s="38">
        <v>1</v>
      </c>
      <c r="P26" s="38">
        <v>3</v>
      </c>
      <c r="Q26" s="9">
        <v>0.2</v>
      </c>
      <c r="R26" s="9">
        <f t="shared" si="15"/>
        <v>0</v>
      </c>
      <c r="S26" s="9">
        <f t="shared" si="0"/>
        <v>23</v>
      </c>
      <c r="T26" s="19">
        <f t="shared" si="1"/>
        <v>14</v>
      </c>
      <c r="U26" s="24">
        <v>10</v>
      </c>
      <c r="V26" s="9">
        <f t="shared" si="2"/>
        <v>9.2000000000000011</v>
      </c>
      <c r="W26" s="9">
        <f t="shared" si="3"/>
        <v>36</v>
      </c>
      <c r="X26" s="9">
        <f t="shared" si="4"/>
        <v>0</v>
      </c>
      <c r="Y26" s="9">
        <f t="shared" si="5"/>
        <v>0</v>
      </c>
      <c r="Z26" s="9">
        <f t="shared" si="21"/>
        <v>0</v>
      </c>
      <c r="AA26" s="9">
        <f t="shared" si="6"/>
        <v>0</v>
      </c>
      <c r="AB26" s="9">
        <f t="shared" si="7"/>
        <v>10</v>
      </c>
      <c r="AC26" s="9">
        <f t="shared" si="11"/>
        <v>9.2000000000000011</v>
      </c>
      <c r="AD26" s="9">
        <f t="shared" si="12"/>
        <v>2.88</v>
      </c>
      <c r="AE26" s="9">
        <f t="shared" si="13"/>
        <v>1.8360000000000003</v>
      </c>
      <c r="AF26" s="9">
        <f t="shared" si="8"/>
        <v>4.7160000000000002</v>
      </c>
      <c r="AG26" s="9">
        <f t="shared" si="9"/>
        <v>55.2</v>
      </c>
      <c r="AH26" s="28">
        <f t="shared" si="14"/>
        <v>7.8740000000000006</v>
      </c>
      <c r="AI26" s="29">
        <f t="shared" si="10"/>
        <v>0.21872222222222223</v>
      </c>
      <c r="AJ26" s="32" t="s">
        <v>237</v>
      </c>
    </row>
    <row r="27" spans="1:36" x14ac:dyDescent="0.2">
      <c r="A27" s="3" t="s">
        <v>108</v>
      </c>
      <c r="B27" s="3" t="s">
        <v>109</v>
      </c>
      <c r="C27" s="39" t="s">
        <v>315</v>
      </c>
      <c r="D27" s="3" t="s">
        <v>81</v>
      </c>
      <c r="G27" s="7">
        <v>8.080808259299287E-3</v>
      </c>
      <c r="H27" s="7">
        <v>2.6865637749063566E-2</v>
      </c>
      <c r="I27" s="7">
        <v>3.6857342364200948E-2</v>
      </c>
      <c r="J27" s="7"/>
      <c r="K27" s="22">
        <f t="shared" si="20"/>
        <v>0.70028950491981801</v>
      </c>
      <c r="L27" s="2" t="s">
        <v>205</v>
      </c>
      <c r="M27" s="44"/>
      <c r="N27" s="38">
        <v>19</v>
      </c>
      <c r="O27" s="38">
        <v>1</v>
      </c>
      <c r="P27" s="38">
        <v>3</v>
      </c>
      <c r="Q27" s="9">
        <v>0.24</v>
      </c>
      <c r="R27" s="9">
        <f t="shared" si="15"/>
        <v>0</v>
      </c>
      <c r="S27" s="9">
        <f t="shared" si="0"/>
        <v>23</v>
      </c>
      <c r="T27" s="19">
        <f t="shared" si="1"/>
        <v>14</v>
      </c>
      <c r="U27" s="24">
        <v>10</v>
      </c>
      <c r="V27" s="9">
        <f t="shared" si="2"/>
        <v>11.04</v>
      </c>
      <c r="W27" s="9">
        <f t="shared" si="3"/>
        <v>36</v>
      </c>
      <c r="X27" s="9">
        <f t="shared" si="4"/>
        <v>0</v>
      </c>
      <c r="Y27" s="9">
        <f t="shared" si="5"/>
        <v>0</v>
      </c>
      <c r="Z27" s="9">
        <f t="shared" si="21"/>
        <v>0</v>
      </c>
      <c r="AA27" s="9">
        <f t="shared" si="6"/>
        <v>0</v>
      </c>
      <c r="AB27" s="9">
        <f t="shared" si="7"/>
        <v>10</v>
      </c>
      <c r="AC27" s="9">
        <f t="shared" si="11"/>
        <v>11.04</v>
      </c>
      <c r="AD27" s="9">
        <f t="shared" si="12"/>
        <v>2.88</v>
      </c>
      <c r="AE27" s="9">
        <f t="shared" si="13"/>
        <v>1.9832000000000001</v>
      </c>
      <c r="AF27" s="9">
        <f t="shared" si="8"/>
        <v>4.8632</v>
      </c>
      <c r="AG27" s="9">
        <f t="shared" si="9"/>
        <v>57.04</v>
      </c>
      <c r="AH27" s="28">
        <f t="shared" si="14"/>
        <v>7.7268000000000026</v>
      </c>
      <c r="AI27" s="29">
        <f t="shared" si="10"/>
        <v>0.2146333333333334</v>
      </c>
      <c r="AJ27" s="32" t="s">
        <v>237</v>
      </c>
    </row>
    <row r="28" spans="1:36" x14ac:dyDescent="0.2">
      <c r="A28" s="3" t="s">
        <v>129</v>
      </c>
      <c r="B28" s="3" t="s">
        <v>130</v>
      </c>
      <c r="C28" s="3" t="s">
        <v>316</v>
      </c>
      <c r="D28" s="3" t="s">
        <v>81</v>
      </c>
      <c r="G28" s="7">
        <v>3.2380250267945642E-3</v>
      </c>
      <c r="H28" s="7">
        <v>1.0765211177007674E-2</v>
      </c>
      <c r="I28" s="7">
        <v>1.4768943052086102E-2</v>
      </c>
      <c r="J28" s="7"/>
      <c r="K28" s="22">
        <f t="shared" si="20"/>
        <v>0.28060991798963597</v>
      </c>
      <c r="L28" s="2" t="s">
        <v>205</v>
      </c>
      <c r="M28" s="44"/>
      <c r="N28" s="38">
        <v>19</v>
      </c>
      <c r="O28" s="38">
        <v>1</v>
      </c>
      <c r="P28" s="38">
        <v>3</v>
      </c>
      <c r="Q28" s="9">
        <v>0.23</v>
      </c>
      <c r="R28" s="9">
        <f t="shared" si="15"/>
        <v>0</v>
      </c>
      <c r="S28" s="9">
        <f t="shared" si="0"/>
        <v>23</v>
      </c>
      <c r="T28" s="19">
        <f t="shared" si="1"/>
        <v>14</v>
      </c>
      <c r="U28" s="24">
        <v>10</v>
      </c>
      <c r="V28" s="9">
        <f t="shared" si="2"/>
        <v>10.58</v>
      </c>
      <c r="W28" s="9">
        <f t="shared" si="3"/>
        <v>36</v>
      </c>
      <c r="X28" s="9">
        <f t="shared" si="4"/>
        <v>0</v>
      </c>
      <c r="Y28" s="9">
        <f t="shared" si="5"/>
        <v>0</v>
      </c>
      <c r="Z28" s="9">
        <f t="shared" si="21"/>
        <v>0</v>
      </c>
      <c r="AA28" s="9">
        <f t="shared" si="6"/>
        <v>0</v>
      </c>
      <c r="AB28" s="9">
        <f t="shared" si="7"/>
        <v>10</v>
      </c>
      <c r="AC28" s="9">
        <f t="shared" si="11"/>
        <v>10.58</v>
      </c>
      <c r="AD28" s="9">
        <f t="shared" si="12"/>
        <v>2.88</v>
      </c>
      <c r="AE28" s="9">
        <f t="shared" si="13"/>
        <v>1.9463999999999999</v>
      </c>
      <c r="AF28" s="9">
        <f t="shared" si="8"/>
        <v>4.8263999999999996</v>
      </c>
      <c r="AG28" s="9">
        <f t="shared" si="9"/>
        <v>56.58</v>
      </c>
      <c r="AH28" s="28">
        <f t="shared" si="14"/>
        <v>7.7636000000000021</v>
      </c>
      <c r="AI28" s="29">
        <f t="shared" si="10"/>
        <v>0.2156555555555556</v>
      </c>
      <c r="AJ28" s="32" t="s">
        <v>237</v>
      </c>
    </row>
    <row r="29" spans="1:36" x14ac:dyDescent="0.2">
      <c r="A29" s="3" t="s">
        <v>137</v>
      </c>
      <c r="B29" s="3" t="s">
        <v>138</v>
      </c>
      <c r="C29" s="3" t="s">
        <v>317</v>
      </c>
      <c r="D29" s="3" t="s">
        <v>81</v>
      </c>
      <c r="G29" s="7">
        <v>2.1240391006262238E-3</v>
      </c>
      <c r="H29" s="7">
        <v>7.0616283930017513E-3</v>
      </c>
      <c r="I29" s="7">
        <v>9.6879462814427261E-3</v>
      </c>
      <c r="J29" s="7"/>
      <c r="K29" s="22">
        <f t="shared" si="20"/>
        <v>0.18407097934741179</v>
      </c>
      <c r="L29" s="2" t="s">
        <v>205</v>
      </c>
      <c r="M29" s="44"/>
      <c r="N29" s="38">
        <v>19</v>
      </c>
      <c r="O29" s="38">
        <v>1</v>
      </c>
      <c r="P29" s="38">
        <v>3</v>
      </c>
      <c r="Q29" s="9">
        <v>0.23</v>
      </c>
      <c r="R29" s="9">
        <f t="shared" si="15"/>
        <v>0</v>
      </c>
      <c r="S29" s="9">
        <f t="shared" si="0"/>
        <v>23</v>
      </c>
      <c r="T29" s="19">
        <f t="shared" si="1"/>
        <v>14</v>
      </c>
      <c r="U29" s="24">
        <v>10</v>
      </c>
      <c r="V29" s="9">
        <f t="shared" si="2"/>
        <v>10.58</v>
      </c>
      <c r="W29" s="9">
        <f t="shared" si="3"/>
        <v>36</v>
      </c>
      <c r="X29" s="9">
        <f t="shared" si="4"/>
        <v>0</v>
      </c>
      <c r="Y29" s="9">
        <f t="shared" si="5"/>
        <v>0</v>
      </c>
      <c r="Z29" s="9">
        <f t="shared" si="21"/>
        <v>0</v>
      </c>
      <c r="AA29" s="9">
        <f t="shared" si="6"/>
        <v>0</v>
      </c>
      <c r="AB29" s="9">
        <f t="shared" si="7"/>
        <v>10</v>
      </c>
      <c r="AC29" s="9">
        <f t="shared" si="11"/>
        <v>10.58</v>
      </c>
      <c r="AD29" s="9">
        <f t="shared" si="12"/>
        <v>2.88</v>
      </c>
      <c r="AE29" s="9">
        <f t="shared" si="13"/>
        <v>1.9463999999999999</v>
      </c>
      <c r="AF29" s="9">
        <f t="shared" si="8"/>
        <v>4.8263999999999996</v>
      </c>
      <c r="AG29" s="9">
        <f t="shared" si="9"/>
        <v>56.58</v>
      </c>
      <c r="AH29" s="28">
        <f t="shared" si="14"/>
        <v>7.7636000000000021</v>
      </c>
      <c r="AI29" s="29">
        <f t="shared" si="10"/>
        <v>0.2156555555555556</v>
      </c>
      <c r="AJ29" s="32" t="s">
        <v>237</v>
      </c>
    </row>
    <row r="30" spans="1:36" x14ac:dyDescent="0.2">
      <c r="A30" s="3" t="s">
        <v>141</v>
      </c>
      <c r="B30" s="3" t="s">
        <v>142</v>
      </c>
      <c r="C30" s="3" t="s">
        <v>318</v>
      </c>
      <c r="D30" s="3" t="s">
        <v>81</v>
      </c>
      <c r="G30" s="7">
        <v>1.9278067615367414E-3</v>
      </c>
      <c r="H30" s="7">
        <v>6.4092299240042228E-3</v>
      </c>
      <c r="I30" s="7">
        <v>8.7929117412498137E-3</v>
      </c>
      <c r="J30" s="7"/>
      <c r="K30" s="22">
        <f t="shared" si="20"/>
        <v>0.16706532308374647</v>
      </c>
      <c r="L30" s="2" t="s">
        <v>205</v>
      </c>
      <c r="M30" s="44"/>
      <c r="N30" s="38">
        <v>19</v>
      </c>
      <c r="O30" s="38">
        <v>1</v>
      </c>
      <c r="P30" s="38">
        <v>3</v>
      </c>
      <c r="Q30" s="9">
        <v>0.24</v>
      </c>
      <c r="R30" s="9">
        <f t="shared" si="15"/>
        <v>0</v>
      </c>
      <c r="S30" s="9">
        <f t="shared" si="0"/>
        <v>23</v>
      </c>
      <c r="T30" s="19">
        <f t="shared" si="1"/>
        <v>14</v>
      </c>
      <c r="U30" s="24">
        <v>10</v>
      </c>
      <c r="V30" s="9">
        <f t="shared" si="2"/>
        <v>11.04</v>
      </c>
      <c r="W30" s="9">
        <f t="shared" si="3"/>
        <v>36</v>
      </c>
      <c r="X30" s="9">
        <f t="shared" si="4"/>
        <v>0</v>
      </c>
      <c r="Y30" s="9">
        <f t="shared" si="5"/>
        <v>0</v>
      </c>
      <c r="Z30" s="9">
        <f t="shared" si="21"/>
        <v>0</v>
      </c>
      <c r="AA30" s="9">
        <f t="shared" si="6"/>
        <v>0</v>
      </c>
      <c r="AB30" s="9">
        <f t="shared" si="7"/>
        <v>10</v>
      </c>
      <c r="AC30" s="9">
        <f t="shared" si="11"/>
        <v>11.04</v>
      </c>
      <c r="AD30" s="9">
        <f t="shared" si="12"/>
        <v>2.88</v>
      </c>
      <c r="AE30" s="9">
        <f t="shared" si="13"/>
        <v>1.9832000000000001</v>
      </c>
      <c r="AF30" s="9">
        <f t="shared" si="8"/>
        <v>4.8632</v>
      </c>
      <c r="AG30" s="9">
        <f t="shared" si="9"/>
        <v>57.04</v>
      </c>
      <c r="AH30" s="28">
        <f t="shared" si="14"/>
        <v>7.7268000000000026</v>
      </c>
      <c r="AI30" s="29">
        <f t="shared" si="10"/>
        <v>0.2146333333333334</v>
      </c>
      <c r="AJ30" s="32" t="s">
        <v>237</v>
      </c>
    </row>
    <row r="31" spans="1:36" x14ac:dyDescent="0.2">
      <c r="A31" s="3" t="s">
        <v>150</v>
      </c>
      <c r="B31" s="3" t="s">
        <v>151</v>
      </c>
      <c r="C31" s="3" t="s">
        <v>319</v>
      </c>
      <c r="D31" s="3" t="s">
        <v>81</v>
      </c>
      <c r="G31" s="7">
        <v>1.4603008106577927E-3</v>
      </c>
      <c r="H31" s="7">
        <v>4.8549490750072625E-3</v>
      </c>
      <c r="I31" s="7">
        <v>6.660572210854759E-3</v>
      </c>
      <c r="J31" s="7"/>
      <c r="K31" s="22">
        <f t="shared" si="20"/>
        <v>0.12655087200624043</v>
      </c>
      <c r="L31" s="2" t="s">
        <v>205</v>
      </c>
      <c r="M31" s="44"/>
      <c r="N31" s="38">
        <v>19</v>
      </c>
      <c r="O31" s="38">
        <v>1</v>
      </c>
      <c r="P31" s="38">
        <v>3</v>
      </c>
      <c r="Q31" s="9">
        <v>0.21</v>
      </c>
      <c r="R31" s="9">
        <f t="shared" si="15"/>
        <v>0</v>
      </c>
      <c r="S31" s="9">
        <f t="shared" si="0"/>
        <v>23</v>
      </c>
      <c r="T31" s="19">
        <f t="shared" si="1"/>
        <v>14</v>
      </c>
      <c r="U31" s="24">
        <v>10</v>
      </c>
      <c r="V31" s="9">
        <f t="shared" si="2"/>
        <v>9.66</v>
      </c>
      <c r="W31" s="9">
        <f t="shared" si="3"/>
        <v>36</v>
      </c>
      <c r="X31" s="9">
        <f t="shared" si="4"/>
        <v>0</v>
      </c>
      <c r="Y31" s="9">
        <f t="shared" si="5"/>
        <v>0</v>
      </c>
      <c r="Z31" s="9">
        <f t="shared" si="21"/>
        <v>0</v>
      </c>
      <c r="AA31" s="9">
        <f t="shared" si="6"/>
        <v>0</v>
      </c>
      <c r="AB31" s="9">
        <f t="shared" si="7"/>
        <v>10</v>
      </c>
      <c r="AC31" s="9">
        <f t="shared" si="11"/>
        <v>9.66</v>
      </c>
      <c r="AD31" s="9">
        <f t="shared" si="12"/>
        <v>2.88</v>
      </c>
      <c r="AE31" s="9">
        <f t="shared" si="13"/>
        <v>1.8728</v>
      </c>
      <c r="AF31" s="9">
        <f t="shared" si="8"/>
        <v>4.7527999999999997</v>
      </c>
      <c r="AG31" s="9">
        <f t="shared" si="9"/>
        <v>55.66</v>
      </c>
      <c r="AH31" s="28">
        <f t="shared" si="14"/>
        <v>7.8371999999999975</v>
      </c>
      <c r="AI31" s="29">
        <f t="shared" si="10"/>
        <v>0.21769999999999992</v>
      </c>
      <c r="AJ31" s="32" t="s">
        <v>237</v>
      </c>
    </row>
    <row r="32" spans="1:36" x14ac:dyDescent="0.2">
      <c r="A32" s="3" t="s">
        <v>154</v>
      </c>
      <c r="B32" s="3" t="s">
        <v>155</v>
      </c>
      <c r="C32" s="3" t="s">
        <v>320</v>
      </c>
      <c r="D32" s="3" t="s">
        <v>81</v>
      </c>
      <c r="G32" s="7">
        <v>1.3391097442682957E-3</v>
      </c>
      <c r="H32" s="7">
        <v>4.4520345170116415E-3</v>
      </c>
      <c r="I32" s="7">
        <v>6.1078081206710835E-3</v>
      </c>
      <c r="J32" s="7"/>
      <c r="K32" s="22">
        <f t="shared" si="20"/>
        <v>0.11604835429275059</v>
      </c>
      <c r="L32" s="2" t="s">
        <v>205</v>
      </c>
      <c r="M32" s="44"/>
      <c r="N32" s="38">
        <v>19</v>
      </c>
      <c r="O32" s="38">
        <v>1</v>
      </c>
      <c r="P32" s="38">
        <v>3</v>
      </c>
      <c r="Q32" s="9">
        <v>0.2</v>
      </c>
      <c r="R32" s="9">
        <f t="shared" si="15"/>
        <v>0</v>
      </c>
      <c r="S32" s="9">
        <f t="shared" si="0"/>
        <v>23</v>
      </c>
      <c r="T32" s="19">
        <f t="shared" si="1"/>
        <v>14</v>
      </c>
      <c r="U32" s="24">
        <v>10</v>
      </c>
      <c r="V32" s="9">
        <f t="shared" si="2"/>
        <v>9.2000000000000011</v>
      </c>
      <c r="W32" s="9">
        <f t="shared" si="3"/>
        <v>36</v>
      </c>
      <c r="X32" s="9">
        <f t="shared" si="4"/>
        <v>0</v>
      </c>
      <c r="Y32" s="9">
        <f t="shared" si="5"/>
        <v>0</v>
      </c>
      <c r="Z32" s="9">
        <f t="shared" si="21"/>
        <v>0</v>
      </c>
      <c r="AA32" s="9">
        <f t="shared" si="6"/>
        <v>0</v>
      </c>
      <c r="AB32" s="9">
        <f t="shared" si="7"/>
        <v>10</v>
      </c>
      <c r="AC32" s="9">
        <f t="shared" si="11"/>
        <v>9.2000000000000011</v>
      </c>
      <c r="AD32" s="9">
        <f t="shared" si="12"/>
        <v>2.88</v>
      </c>
      <c r="AE32" s="9">
        <f t="shared" si="13"/>
        <v>1.8360000000000003</v>
      </c>
      <c r="AF32" s="9">
        <f t="shared" si="8"/>
        <v>4.7160000000000002</v>
      </c>
      <c r="AG32" s="9">
        <f t="shared" si="9"/>
        <v>55.2</v>
      </c>
      <c r="AH32" s="28">
        <f t="shared" si="14"/>
        <v>7.8740000000000006</v>
      </c>
      <c r="AI32" s="29">
        <f t="shared" si="10"/>
        <v>0.21872222222222223</v>
      </c>
      <c r="AJ32" s="32" t="s">
        <v>237</v>
      </c>
    </row>
    <row r="33" spans="1:36" x14ac:dyDescent="0.2">
      <c r="A33" s="3" t="s">
        <v>156</v>
      </c>
      <c r="B33" s="3" t="s">
        <v>157</v>
      </c>
      <c r="C33" s="3" t="s">
        <v>321</v>
      </c>
      <c r="D33" s="3" t="s">
        <v>81</v>
      </c>
      <c r="G33" s="7">
        <v>1.2351769925578377E-3</v>
      </c>
      <c r="H33" s="7">
        <v>4.1064973420015449E-3</v>
      </c>
      <c r="I33" s="7">
        <v>5.6337608608270527E-3</v>
      </c>
      <c r="J33" s="7"/>
      <c r="K33" s="22">
        <f t="shared" si="20"/>
        <v>0.10704145635571401</v>
      </c>
      <c r="L33" s="2" t="s">
        <v>205</v>
      </c>
      <c r="M33" s="44"/>
      <c r="N33" s="38">
        <v>19</v>
      </c>
      <c r="O33" s="38">
        <v>1</v>
      </c>
      <c r="P33" s="38">
        <v>3</v>
      </c>
      <c r="Q33" s="9">
        <v>0.19</v>
      </c>
      <c r="R33" s="9">
        <f t="shared" si="15"/>
        <v>0</v>
      </c>
      <c r="S33" s="9">
        <f t="shared" si="0"/>
        <v>23</v>
      </c>
      <c r="T33" s="19">
        <f t="shared" si="1"/>
        <v>14</v>
      </c>
      <c r="U33" s="24">
        <v>10</v>
      </c>
      <c r="V33" s="9">
        <f t="shared" si="2"/>
        <v>8.74</v>
      </c>
      <c r="W33" s="9">
        <f t="shared" si="3"/>
        <v>36</v>
      </c>
      <c r="X33" s="9">
        <f t="shared" si="4"/>
        <v>0</v>
      </c>
      <c r="Y33" s="9">
        <f t="shared" si="5"/>
        <v>0</v>
      </c>
      <c r="Z33" s="9">
        <f t="shared" si="21"/>
        <v>0</v>
      </c>
      <c r="AA33" s="9">
        <f t="shared" si="6"/>
        <v>0</v>
      </c>
      <c r="AB33" s="9">
        <f t="shared" si="7"/>
        <v>10</v>
      </c>
      <c r="AC33" s="9">
        <f t="shared" si="11"/>
        <v>8.74</v>
      </c>
      <c r="AD33" s="9">
        <f t="shared" si="12"/>
        <v>2.88</v>
      </c>
      <c r="AE33" s="9">
        <f t="shared" si="13"/>
        <v>1.7992000000000001</v>
      </c>
      <c r="AF33" s="9">
        <f t="shared" si="8"/>
        <v>4.6791999999999998</v>
      </c>
      <c r="AG33" s="9">
        <f t="shared" si="9"/>
        <v>54.74</v>
      </c>
      <c r="AH33" s="28">
        <f t="shared" si="14"/>
        <v>7.9108000000000018</v>
      </c>
      <c r="AI33" s="29">
        <f t="shared" si="10"/>
        <v>0.21974444444444449</v>
      </c>
      <c r="AJ33" s="32" t="s">
        <v>237</v>
      </c>
    </row>
    <row r="34" spans="1:36" x14ac:dyDescent="0.2">
      <c r="A34" s="3" t="s">
        <v>160</v>
      </c>
      <c r="B34" s="3" t="s">
        <v>161</v>
      </c>
      <c r="C34" s="3" t="s">
        <v>322</v>
      </c>
      <c r="D34" s="3" t="s">
        <v>81</v>
      </c>
      <c r="G34" s="7">
        <v>8.7160379338934682E-4</v>
      </c>
      <c r="H34" s="7">
        <v>2.8977536680146808E-3</v>
      </c>
      <c r="I34" s="7">
        <v>3.9754685902760279E-3</v>
      </c>
      <c r="J34" s="7"/>
      <c r="K34" s="22">
        <f t="shared" si="20"/>
        <v>7.553390321524453E-2</v>
      </c>
      <c r="L34" s="2" t="s">
        <v>205</v>
      </c>
      <c r="M34" s="44"/>
      <c r="N34" s="38">
        <v>19</v>
      </c>
      <c r="O34" s="38">
        <v>1</v>
      </c>
      <c r="P34" s="38">
        <v>3</v>
      </c>
      <c r="Q34" s="9">
        <v>0.2</v>
      </c>
      <c r="R34" s="9">
        <f t="shared" si="15"/>
        <v>0</v>
      </c>
      <c r="S34" s="9">
        <f t="shared" si="0"/>
        <v>23</v>
      </c>
      <c r="T34" s="19">
        <f t="shared" si="1"/>
        <v>14</v>
      </c>
      <c r="U34" s="24">
        <v>10</v>
      </c>
      <c r="V34" s="9">
        <f t="shared" si="2"/>
        <v>9.2000000000000011</v>
      </c>
      <c r="W34" s="9">
        <f t="shared" si="3"/>
        <v>36</v>
      </c>
      <c r="X34" s="9">
        <f t="shared" si="4"/>
        <v>0</v>
      </c>
      <c r="Y34" s="9">
        <f t="shared" si="5"/>
        <v>0</v>
      </c>
      <c r="Z34" s="9">
        <f t="shared" si="21"/>
        <v>0</v>
      </c>
      <c r="AA34" s="9">
        <f t="shared" si="6"/>
        <v>0</v>
      </c>
      <c r="AB34" s="9">
        <f t="shared" si="7"/>
        <v>10</v>
      </c>
      <c r="AC34" s="9">
        <f t="shared" si="11"/>
        <v>9.2000000000000011</v>
      </c>
      <c r="AD34" s="9">
        <f t="shared" si="12"/>
        <v>2.88</v>
      </c>
      <c r="AE34" s="9">
        <f t="shared" si="13"/>
        <v>1.8360000000000003</v>
      </c>
      <c r="AF34" s="9">
        <f t="shared" si="8"/>
        <v>4.7160000000000002</v>
      </c>
      <c r="AG34" s="9">
        <f t="shared" si="9"/>
        <v>55.2</v>
      </c>
      <c r="AH34" s="28">
        <f t="shared" si="14"/>
        <v>7.8740000000000006</v>
      </c>
      <c r="AI34" s="29">
        <f t="shared" si="10"/>
        <v>0.21872222222222223</v>
      </c>
      <c r="AJ34" s="32" t="s">
        <v>237</v>
      </c>
    </row>
    <row r="35" spans="1:36" x14ac:dyDescent="0.2">
      <c r="A35" s="3" t="s">
        <v>166</v>
      </c>
      <c r="B35" s="3" t="s">
        <v>167</v>
      </c>
      <c r="C35" s="3" t="s">
        <v>323</v>
      </c>
      <c r="D35" s="3" t="s">
        <v>81</v>
      </c>
      <c r="G35" s="7">
        <v>6.6373828996843076E-4</v>
      </c>
      <c r="H35" s="7">
        <v>2.2066793179944875E-3</v>
      </c>
      <c r="I35" s="7">
        <v>3.0273740705879654E-3</v>
      </c>
      <c r="J35" s="7"/>
      <c r="K35" s="22">
        <f t="shared" si="20"/>
        <v>5.7520107341171342E-2</v>
      </c>
      <c r="L35" s="2" t="s">
        <v>205</v>
      </c>
      <c r="M35" s="44"/>
      <c r="N35" s="38">
        <v>19</v>
      </c>
      <c r="O35" s="38">
        <v>1</v>
      </c>
      <c r="P35" s="38">
        <v>3</v>
      </c>
      <c r="Q35" s="9">
        <v>0.19</v>
      </c>
      <c r="R35" s="9">
        <f t="shared" si="15"/>
        <v>0</v>
      </c>
      <c r="S35" s="9">
        <f t="shared" si="0"/>
        <v>23</v>
      </c>
      <c r="T35" s="19">
        <f t="shared" si="1"/>
        <v>14</v>
      </c>
      <c r="U35" s="24">
        <v>10</v>
      </c>
      <c r="V35" s="9">
        <f t="shared" si="2"/>
        <v>8.74</v>
      </c>
      <c r="W35" s="9">
        <f t="shared" si="3"/>
        <v>36</v>
      </c>
      <c r="X35" s="9">
        <f t="shared" si="4"/>
        <v>0</v>
      </c>
      <c r="Y35" s="9">
        <f t="shared" si="5"/>
        <v>0</v>
      </c>
      <c r="Z35" s="9">
        <f t="shared" si="21"/>
        <v>0</v>
      </c>
      <c r="AA35" s="9">
        <f t="shared" si="6"/>
        <v>0</v>
      </c>
      <c r="AB35" s="9">
        <f t="shared" si="7"/>
        <v>10</v>
      </c>
      <c r="AC35" s="9">
        <f t="shared" si="11"/>
        <v>8.74</v>
      </c>
      <c r="AD35" s="9">
        <f t="shared" si="12"/>
        <v>2.88</v>
      </c>
      <c r="AE35" s="9">
        <f t="shared" si="13"/>
        <v>1.7992000000000001</v>
      </c>
      <c r="AF35" s="9">
        <f t="shared" si="8"/>
        <v>4.6791999999999998</v>
      </c>
      <c r="AG35" s="9">
        <f t="shared" si="9"/>
        <v>54.74</v>
      </c>
      <c r="AH35" s="28">
        <f t="shared" si="14"/>
        <v>7.9108000000000018</v>
      </c>
      <c r="AI35" s="29">
        <f t="shared" si="10"/>
        <v>0.21974444444444449</v>
      </c>
      <c r="AJ35" s="32" t="s">
        <v>237</v>
      </c>
    </row>
    <row r="36" spans="1:36" x14ac:dyDescent="0.2">
      <c r="A36" s="3" t="s">
        <v>168</v>
      </c>
      <c r="B36" s="3" t="s">
        <v>169</v>
      </c>
      <c r="C36" s="3" t="s">
        <v>324</v>
      </c>
      <c r="D36" s="3" t="s">
        <v>81</v>
      </c>
      <c r="G36" s="7">
        <v>3.4631488448945197E-4</v>
      </c>
      <c r="H36" s="7">
        <v>1.1513662910013394E-3</v>
      </c>
      <c r="I36" s="7">
        <v>1.579575440211381E-3</v>
      </c>
      <c r="J36" s="7"/>
      <c r="K36" s="22">
        <f t="shared" si="20"/>
        <v>3.0011933364016238E-2</v>
      </c>
      <c r="L36" s="2" t="s">
        <v>205</v>
      </c>
      <c r="M36" s="44"/>
      <c r="N36" s="38">
        <v>19</v>
      </c>
      <c r="O36" s="38">
        <v>1</v>
      </c>
      <c r="P36" s="38">
        <v>3</v>
      </c>
      <c r="Q36" s="9">
        <v>0.25</v>
      </c>
      <c r="R36" s="9">
        <f t="shared" si="15"/>
        <v>0</v>
      </c>
      <c r="S36" s="9">
        <f t="shared" si="0"/>
        <v>23</v>
      </c>
      <c r="T36" s="19">
        <f t="shared" si="1"/>
        <v>14</v>
      </c>
      <c r="U36" s="24">
        <v>10</v>
      </c>
      <c r="V36" s="9">
        <f t="shared" si="2"/>
        <v>11.5</v>
      </c>
      <c r="W36" s="9">
        <f t="shared" si="3"/>
        <v>36</v>
      </c>
      <c r="X36" s="9">
        <f t="shared" si="4"/>
        <v>0</v>
      </c>
      <c r="Y36" s="9">
        <f t="shared" si="5"/>
        <v>0</v>
      </c>
      <c r="Z36" s="9">
        <f t="shared" si="21"/>
        <v>0</v>
      </c>
      <c r="AA36" s="9">
        <f t="shared" si="6"/>
        <v>0</v>
      </c>
      <c r="AB36" s="9">
        <f t="shared" si="7"/>
        <v>10</v>
      </c>
      <c r="AC36" s="9">
        <f t="shared" si="11"/>
        <v>11.5</v>
      </c>
      <c r="AD36" s="9">
        <f t="shared" si="12"/>
        <v>2.88</v>
      </c>
      <c r="AE36" s="9">
        <f t="shared" si="13"/>
        <v>2.02</v>
      </c>
      <c r="AF36" s="9">
        <f t="shared" si="8"/>
        <v>4.9000000000000004</v>
      </c>
      <c r="AG36" s="9">
        <f t="shared" si="9"/>
        <v>57.5</v>
      </c>
      <c r="AH36" s="28">
        <f t="shared" si="14"/>
        <v>7.6900000000000013</v>
      </c>
      <c r="AI36" s="29">
        <f t="shared" si="10"/>
        <v>0.21361111111111114</v>
      </c>
      <c r="AJ36" s="32" t="s">
        <v>237</v>
      </c>
    </row>
    <row r="37" spans="1:36" x14ac:dyDescent="0.2">
      <c r="A37" s="3" t="s">
        <v>170</v>
      </c>
      <c r="B37" s="3" t="s">
        <v>171</v>
      </c>
      <c r="C37" s="3" t="s">
        <v>325</v>
      </c>
      <c r="D37" s="3" t="s">
        <v>81</v>
      </c>
      <c r="G37" s="7">
        <v>3.0016509079993996E-4</v>
      </c>
      <c r="H37" s="7">
        <v>9.9793564400762385E-4</v>
      </c>
      <c r="I37" s="7">
        <v>1.3690818000369413E-3</v>
      </c>
      <c r="J37" s="7"/>
      <c r="K37" s="22">
        <f t="shared" si="20"/>
        <v>2.6012554200701886E-2</v>
      </c>
      <c r="L37" s="2" t="s">
        <v>205</v>
      </c>
      <c r="M37" s="44"/>
      <c r="N37" s="38">
        <v>19</v>
      </c>
      <c r="O37" s="38">
        <v>1</v>
      </c>
      <c r="P37" s="38">
        <v>3</v>
      </c>
      <c r="Q37" s="9">
        <v>0.21</v>
      </c>
      <c r="R37" s="9">
        <f t="shared" si="15"/>
        <v>0</v>
      </c>
      <c r="S37" s="9">
        <f t="shared" si="0"/>
        <v>23</v>
      </c>
      <c r="T37" s="19">
        <f t="shared" si="1"/>
        <v>14</v>
      </c>
      <c r="U37" s="24">
        <v>10</v>
      </c>
      <c r="V37" s="9">
        <f t="shared" si="2"/>
        <v>9.66</v>
      </c>
      <c r="W37" s="9">
        <f t="shared" si="3"/>
        <v>36</v>
      </c>
      <c r="X37" s="9">
        <f t="shared" si="4"/>
        <v>0</v>
      </c>
      <c r="Y37" s="9">
        <f t="shared" si="5"/>
        <v>0</v>
      </c>
      <c r="Z37" s="9">
        <f t="shared" si="21"/>
        <v>0</v>
      </c>
      <c r="AA37" s="9">
        <f t="shared" si="6"/>
        <v>0</v>
      </c>
      <c r="AB37" s="9">
        <f t="shared" si="7"/>
        <v>10</v>
      </c>
      <c r="AC37" s="9">
        <f t="shared" si="11"/>
        <v>9.66</v>
      </c>
      <c r="AD37" s="9">
        <f t="shared" si="12"/>
        <v>2.88</v>
      </c>
      <c r="AE37" s="9">
        <f t="shared" si="13"/>
        <v>1.8728</v>
      </c>
      <c r="AF37" s="9">
        <f t="shared" si="8"/>
        <v>4.7527999999999997</v>
      </c>
      <c r="AG37" s="9">
        <f t="shared" si="9"/>
        <v>55.66</v>
      </c>
      <c r="AH37" s="28">
        <f t="shared" si="14"/>
        <v>7.8371999999999975</v>
      </c>
      <c r="AI37" s="29">
        <f t="shared" si="10"/>
        <v>0.21769999999999992</v>
      </c>
      <c r="AJ37" s="32" t="s">
        <v>237</v>
      </c>
    </row>
    <row r="38" spans="1:36" x14ac:dyDescent="0.2">
      <c r="A38" s="3" t="s">
        <v>174</v>
      </c>
      <c r="B38" s="3" t="s">
        <v>175</v>
      </c>
      <c r="C38" s="3" t="s">
        <v>326</v>
      </c>
      <c r="D38" s="3" t="s">
        <v>81</v>
      </c>
      <c r="G38" s="7">
        <v>0</v>
      </c>
      <c r="H38" s="7">
        <v>0</v>
      </c>
      <c r="I38" s="7">
        <v>0</v>
      </c>
      <c r="J38" s="7"/>
      <c r="K38" s="22">
        <f t="shared" si="20"/>
        <v>0</v>
      </c>
      <c r="L38" s="2" t="s">
        <v>205</v>
      </c>
      <c r="M38" s="44"/>
      <c r="N38" s="38">
        <v>19</v>
      </c>
      <c r="O38" s="38">
        <v>1</v>
      </c>
      <c r="P38" s="38">
        <v>3</v>
      </c>
      <c r="Q38" s="9">
        <v>0.18</v>
      </c>
      <c r="R38" s="9">
        <f t="shared" si="15"/>
        <v>0</v>
      </c>
      <c r="S38" s="9">
        <f t="shared" si="0"/>
        <v>23</v>
      </c>
      <c r="T38" s="19">
        <f t="shared" si="1"/>
        <v>14</v>
      </c>
      <c r="U38" s="24">
        <v>10</v>
      </c>
      <c r="V38" s="9">
        <f t="shared" si="2"/>
        <v>8.2799999999999994</v>
      </c>
      <c r="W38" s="9">
        <f t="shared" si="3"/>
        <v>36</v>
      </c>
      <c r="X38" s="9">
        <f t="shared" si="4"/>
        <v>0</v>
      </c>
      <c r="Y38" s="9">
        <f t="shared" si="5"/>
        <v>0</v>
      </c>
      <c r="Z38" s="9">
        <f t="shared" si="21"/>
        <v>0</v>
      </c>
      <c r="AA38" s="9">
        <f t="shared" si="6"/>
        <v>0</v>
      </c>
      <c r="AB38" s="9">
        <f t="shared" si="7"/>
        <v>10</v>
      </c>
      <c r="AC38" s="9">
        <f t="shared" si="11"/>
        <v>8.2799999999999994</v>
      </c>
      <c r="AD38" s="9">
        <f t="shared" si="12"/>
        <v>2.88</v>
      </c>
      <c r="AE38" s="9">
        <f t="shared" si="13"/>
        <v>1.7624000000000002</v>
      </c>
      <c r="AF38" s="9">
        <f t="shared" si="8"/>
        <v>4.6424000000000003</v>
      </c>
      <c r="AG38" s="9">
        <f t="shared" si="9"/>
        <v>54.28</v>
      </c>
      <c r="AH38" s="28">
        <f t="shared" si="14"/>
        <v>7.9476000000000013</v>
      </c>
      <c r="AI38" s="29">
        <f t="shared" si="10"/>
        <v>0.22076666666666669</v>
      </c>
      <c r="AJ38" s="32" t="s">
        <v>237</v>
      </c>
    </row>
    <row r="39" spans="1:36" x14ac:dyDescent="0.2">
      <c r="A39" s="3" t="s">
        <v>44</v>
      </c>
      <c r="B39" s="3" t="s">
        <v>45</v>
      </c>
      <c r="C39" s="3" t="s">
        <v>247</v>
      </c>
      <c r="D39" s="3" t="s">
        <v>46</v>
      </c>
      <c r="G39" s="7">
        <v>5.2408730610312912E-3</v>
      </c>
      <c r="H39" s="7">
        <v>1.7423925012013803E-2</v>
      </c>
      <c r="I39" s="15"/>
      <c r="J39" s="7"/>
      <c r="K39" s="15"/>
      <c r="L39" s="2" t="s">
        <v>205</v>
      </c>
      <c r="M39" s="44"/>
      <c r="N39" s="38">
        <v>21</v>
      </c>
      <c r="O39" s="38">
        <v>1</v>
      </c>
      <c r="P39" s="9"/>
      <c r="Q39" s="9"/>
      <c r="R39" s="9"/>
      <c r="S39" s="9">
        <f t="shared" ref="S39:S70" si="22">N39+O39+R39+P39</f>
        <v>22</v>
      </c>
      <c r="T39" s="19">
        <f t="shared" ref="T39:T70" si="23">ROUNDUP(S39-$U$5,0)</f>
        <v>13</v>
      </c>
      <c r="U39" s="24">
        <v>12</v>
      </c>
      <c r="V39" s="9">
        <f>IF(O$3="KS",0,(IF(Q$4="Itemized",($O$1+U39)*Q39,($O$1+U39)/(1+Q39)*Q39)))</f>
        <v>0</v>
      </c>
      <c r="W39" s="9">
        <f t="shared" ref="W39:W60" si="24">$O$5-Z39</f>
        <v>36</v>
      </c>
      <c r="X39" s="9">
        <f t="shared" ref="X39:X60" si="25">IF(OR($O$4="N/A",$O$4="PM"),0,IF($O$4="KS",$O$1-$O$5,"??"))</f>
        <v>0</v>
      </c>
      <c r="Y39" s="9">
        <f t="shared" ref="Y39:Y60" si="26">IF($O$3="KS",U39,0)</f>
        <v>0</v>
      </c>
      <c r="Z39" s="9">
        <f t="shared" si="21"/>
        <v>0</v>
      </c>
      <c r="AA39" s="9">
        <f t="shared" ref="AA39:AA60" si="27">IF(OR($O$4="N/A",$O$4="KS"),0,IF($O$4="PM",$O$1-$O$5,"??"))</f>
        <v>0</v>
      </c>
      <c r="AB39" s="9">
        <f t="shared" ref="AB39:AB60" si="28">IF($O$3="PM",U39,0)</f>
        <v>12</v>
      </c>
      <c r="AC39" s="9">
        <f t="shared" si="11"/>
        <v>0</v>
      </c>
      <c r="AD39" s="9">
        <f t="shared" si="12"/>
        <v>2.88</v>
      </c>
      <c r="AE39" s="9">
        <f t="shared" si="13"/>
        <v>1.26</v>
      </c>
      <c r="AF39" s="9">
        <f t="shared" si="8"/>
        <v>4.1399999999999997</v>
      </c>
      <c r="AG39" s="9">
        <f t="shared" ref="AG39:AG60" si="29">$O$1+U39+V39</f>
        <v>48</v>
      </c>
      <c r="AH39" s="28">
        <f t="shared" si="14"/>
        <v>11.450000000000001</v>
      </c>
      <c r="AI39" s="29">
        <f t="shared" ref="AI39:AI70" si="30">AH39/O$1</f>
        <v>0.31805555555555559</v>
      </c>
      <c r="AJ39" s="32" t="s">
        <v>237</v>
      </c>
    </row>
    <row r="40" spans="1:36" x14ac:dyDescent="0.2">
      <c r="A40" s="3" t="s">
        <v>48</v>
      </c>
      <c r="B40" s="3" t="s">
        <v>49</v>
      </c>
      <c r="C40" s="3" t="s">
        <v>248</v>
      </c>
      <c r="D40" s="3" t="s">
        <v>46</v>
      </c>
      <c r="G40" s="7">
        <v>2.9434850863422294E-3</v>
      </c>
      <c r="H40" s="7">
        <v>9.7859770349629106E-3</v>
      </c>
      <c r="I40" s="15"/>
      <c r="J40" s="7"/>
      <c r="K40" s="15"/>
      <c r="L40" s="2" t="s">
        <v>205</v>
      </c>
      <c r="M40" s="44"/>
      <c r="N40" s="38">
        <v>21</v>
      </c>
      <c r="O40" s="38">
        <v>1</v>
      </c>
      <c r="P40" s="9"/>
      <c r="Q40" s="9"/>
      <c r="R40" s="9"/>
      <c r="S40" s="9">
        <f t="shared" si="22"/>
        <v>22</v>
      </c>
      <c r="T40" s="19">
        <f t="shared" si="23"/>
        <v>13</v>
      </c>
      <c r="U40" s="24">
        <v>12</v>
      </c>
      <c r="V40" s="9">
        <f>IF(O$3="KS",0,(IF(Q$4="Itemized",($O$1+U40)*Q40,($O$1+U40)/(1+Q40)*Q40)))</f>
        <v>0</v>
      </c>
      <c r="W40" s="9">
        <f t="shared" si="24"/>
        <v>36</v>
      </c>
      <c r="X40" s="9">
        <f t="shared" si="25"/>
        <v>0</v>
      </c>
      <c r="Y40" s="9">
        <f t="shared" si="26"/>
        <v>0</v>
      </c>
      <c r="Z40" s="9">
        <f t="shared" si="21"/>
        <v>0</v>
      </c>
      <c r="AA40" s="9">
        <f t="shared" si="27"/>
        <v>0</v>
      </c>
      <c r="AB40" s="9">
        <f t="shared" si="28"/>
        <v>12</v>
      </c>
      <c r="AC40" s="9">
        <f t="shared" si="11"/>
        <v>0</v>
      </c>
      <c r="AD40" s="9">
        <f t="shared" si="12"/>
        <v>2.88</v>
      </c>
      <c r="AE40" s="9">
        <f t="shared" si="13"/>
        <v>1.26</v>
      </c>
      <c r="AF40" s="9">
        <f t="shared" ref="AF40:AF60" si="31">SUM(AD40:AE40)</f>
        <v>4.1399999999999997</v>
      </c>
      <c r="AG40" s="9">
        <f t="shared" si="29"/>
        <v>48</v>
      </c>
      <c r="AH40" s="28">
        <f t="shared" si="14"/>
        <v>11.450000000000001</v>
      </c>
      <c r="AI40" s="29">
        <f t="shared" si="30"/>
        <v>0.31805555555555559</v>
      </c>
      <c r="AJ40" s="32" t="s">
        <v>237</v>
      </c>
    </row>
    <row r="41" spans="1:36" x14ac:dyDescent="0.2">
      <c r="A41" s="3" t="s">
        <v>54</v>
      </c>
      <c r="B41" s="3" t="s">
        <v>55</v>
      </c>
      <c r="C41" s="3" t="s">
        <v>299</v>
      </c>
      <c r="D41" s="3" t="s">
        <v>46</v>
      </c>
      <c r="G41" s="7">
        <v>1.1139859261683409E-3</v>
      </c>
      <c r="H41" s="7">
        <v>3.703582784005924E-3</v>
      </c>
      <c r="I41" s="15"/>
      <c r="J41" s="7"/>
      <c r="K41" s="15"/>
      <c r="L41" s="2" t="s">
        <v>205</v>
      </c>
      <c r="M41" s="44"/>
      <c r="N41" s="38">
        <v>21</v>
      </c>
      <c r="O41" s="38">
        <v>1</v>
      </c>
      <c r="P41" s="9"/>
      <c r="Q41" s="9"/>
      <c r="R41" s="9"/>
      <c r="S41" s="9">
        <f t="shared" si="22"/>
        <v>22</v>
      </c>
      <c r="T41" s="19">
        <f t="shared" si="23"/>
        <v>13</v>
      </c>
      <c r="U41" s="24">
        <v>12</v>
      </c>
      <c r="V41" s="9">
        <f>IF(O$3="KS",0,(IF(Q$4="Itemized",($O$1+U41)*Q41,($O$1+U41)/(1+Q41)*Q41)))</f>
        <v>0</v>
      </c>
      <c r="W41" s="9">
        <f t="shared" si="24"/>
        <v>36</v>
      </c>
      <c r="X41" s="9">
        <f t="shared" si="25"/>
        <v>0</v>
      </c>
      <c r="Y41" s="9">
        <f t="shared" si="26"/>
        <v>0</v>
      </c>
      <c r="Z41" s="9">
        <f t="shared" si="21"/>
        <v>0</v>
      </c>
      <c r="AA41" s="9">
        <f t="shared" si="27"/>
        <v>0</v>
      </c>
      <c r="AB41" s="9">
        <f t="shared" si="28"/>
        <v>12</v>
      </c>
      <c r="AC41" s="9">
        <f t="shared" si="11"/>
        <v>0</v>
      </c>
      <c r="AD41" s="9">
        <f t="shared" si="12"/>
        <v>2.88</v>
      </c>
      <c r="AE41" s="9">
        <f t="shared" si="13"/>
        <v>1.26</v>
      </c>
      <c r="AF41" s="9">
        <f t="shared" si="31"/>
        <v>4.1399999999999997</v>
      </c>
      <c r="AG41" s="9">
        <f t="shared" si="29"/>
        <v>48</v>
      </c>
      <c r="AH41" s="28">
        <f t="shared" si="14"/>
        <v>11.450000000000001</v>
      </c>
      <c r="AI41" s="29">
        <f t="shared" si="30"/>
        <v>0.31805555555555559</v>
      </c>
      <c r="AJ41" s="32" t="s">
        <v>237</v>
      </c>
    </row>
    <row r="42" spans="1:36" x14ac:dyDescent="0.2">
      <c r="A42" s="3" t="s">
        <v>86</v>
      </c>
      <c r="B42" s="3" t="s">
        <v>87</v>
      </c>
      <c r="C42" s="3" t="s">
        <v>249</v>
      </c>
      <c r="D42" s="3" t="s">
        <v>87</v>
      </c>
      <c r="G42" s="7">
        <v>3.6871093465613305E-2</v>
      </c>
      <c r="H42" s="7"/>
      <c r="I42" s="15"/>
      <c r="J42" s="7"/>
      <c r="K42" s="15"/>
      <c r="L42" s="2" t="s">
        <v>88</v>
      </c>
      <c r="M42" s="44"/>
      <c r="N42" s="38">
        <v>22</v>
      </c>
      <c r="O42" s="38">
        <v>1</v>
      </c>
      <c r="P42" s="9"/>
      <c r="Q42" s="9"/>
      <c r="R42" s="9"/>
      <c r="S42" s="9">
        <f t="shared" si="22"/>
        <v>23</v>
      </c>
      <c r="T42" s="19">
        <f t="shared" si="23"/>
        <v>14</v>
      </c>
      <c r="U42" s="24">
        <v>14</v>
      </c>
      <c r="V42" s="9">
        <f t="shared" ref="V42:V60" si="32">IF(O$3="KS",0,(IF(Q$4="Itemized",($O$1+U42)*Q42,0)))</f>
        <v>0</v>
      </c>
      <c r="W42" s="9">
        <f t="shared" si="24"/>
        <v>36</v>
      </c>
      <c r="X42" s="9">
        <f t="shared" si="25"/>
        <v>0</v>
      </c>
      <c r="Y42" s="9">
        <f t="shared" si="26"/>
        <v>0</v>
      </c>
      <c r="Z42" s="9">
        <f t="shared" si="21"/>
        <v>0</v>
      </c>
      <c r="AA42" s="9">
        <f t="shared" si="27"/>
        <v>0</v>
      </c>
      <c r="AB42" s="9">
        <f t="shared" si="28"/>
        <v>14</v>
      </c>
      <c r="AC42" s="9">
        <f t="shared" si="11"/>
        <v>0</v>
      </c>
      <c r="AD42" s="9">
        <f t="shared" si="12"/>
        <v>2.88</v>
      </c>
      <c r="AE42" s="9">
        <f t="shared" si="13"/>
        <v>1.4200000000000002</v>
      </c>
      <c r="AF42" s="9">
        <f t="shared" si="31"/>
        <v>4.3</v>
      </c>
      <c r="AG42" s="9">
        <f t="shared" si="29"/>
        <v>50</v>
      </c>
      <c r="AH42" s="28">
        <f t="shared" si="14"/>
        <v>12.290000000000001</v>
      </c>
      <c r="AI42" s="29">
        <f t="shared" si="30"/>
        <v>0.34138888888888891</v>
      </c>
      <c r="AJ42" s="32" t="s">
        <v>237</v>
      </c>
    </row>
    <row r="43" spans="1:36" x14ac:dyDescent="0.2">
      <c r="A43" s="3" t="s">
        <v>83</v>
      </c>
      <c r="B43" s="3" t="s">
        <v>84</v>
      </c>
      <c r="C43" s="3" t="s">
        <v>250</v>
      </c>
      <c r="D43" s="3" t="s">
        <v>84</v>
      </c>
      <c r="G43" s="7">
        <v>6.7867232786509815E-2</v>
      </c>
      <c r="H43" s="7"/>
      <c r="I43" s="15"/>
      <c r="J43" s="7"/>
      <c r="K43" s="15"/>
      <c r="L43" s="2" t="s">
        <v>85</v>
      </c>
      <c r="M43" s="44"/>
      <c r="N43" s="38">
        <v>23</v>
      </c>
      <c r="O43" s="38">
        <v>1</v>
      </c>
      <c r="P43" s="9"/>
      <c r="Q43" s="9"/>
      <c r="R43" s="9"/>
      <c r="S43" s="9">
        <f t="shared" si="22"/>
        <v>24</v>
      </c>
      <c r="T43" s="19">
        <f t="shared" si="23"/>
        <v>15</v>
      </c>
      <c r="U43" s="24">
        <v>14</v>
      </c>
      <c r="V43" s="9">
        <f t="shared" si="32"/>
        <v>0</v>
      </c>
      <c r="W43" s="9">
        <f t="shared" si="24"/>
        <v>36</v>
      </c>
      <c r="X43" s="9">
        <f t="shared" si="25"/>
        <v>0</v>
      </c>
      <c r="Y43" s="9">
        <f t="shared" si="26"/>
        <v>0</v>
      </c>
      <c r="Z43" s="9">
        <f t="shared" si="21"/>
        <v>0</v>
      </c>
      <c r="AA43" s="9">
        <f t="shared" si="27"/>
        <v>0</v>
      </c>
      <c r="AB43" s="9">
        <f t="shared" si="28"/>
        <v>14</v>
      </c>
      <c r="AC43" s="9">
        <f t="shared" si="11"/>
        <v>0</v>
      </c>
      <c r="AD43" s="9">
        <f t="shared" si="12"/>
        <v>2.88</v>
      </c>
      <c r="AE43" s="9">
        <f t="shared" si="13"/>
        <v>1.4200000000000002</v>
      </c>
      <c r="AF43" s="9">
        <f t="shared" si="31"/>
        <v>4.3</v>
      </c>
      <c r="AG43" s="9">
        <f t="shared" si="29"/>
        <v>50</v>
      </c>
      <c r="AH43" s="28">
        <f t="shared" si="14"/>
        <v>11.290000000000001</v>
      </c>
      <c r="AI43" s="29">
        <f t="shared" si="30"/>
        <v>0.31361111111111112</v>
      </c>
      <c r="AJ43" s="32" t="s">
        <v>237</v>
      </c>
    </row>
    <row r="44" spans="1:36" x14ac:dyDescent="0.2">
      <c r="A44" s="3" t="s">
        <v>103</v>
      </c>
      <c r="B44" s="3" t="s">
        <v>104</v>
      </c>
      <c r="C44" s="3" t="s">
        <v>251</v>
      </c>
      <c r="D44" s="3" t="s">
        <v>105</v>
      </c>
      <c r="G44" s="7">
        <v>8.9351537380095939E-3</v>
      </c>
      <c r="H44" s="7"/>
      <c r="I44" s="7"/>
      <c r="J44" s="7">
        <v>0.28604049954084931</v>
      </c>
      <c r="K44" s="15"/>
      <c r="L44" s="2" t="s">
        <v>58</v>
      </c>
      <c r="M44" s="2" t="s">
        <v>107</v>
      </c>
      <c r="N44" s="38">
        <v>26</v>
      </c>
      <c r="O44" s="38"/>
      <c r="P44" s="9"/>
      <c r="Q44" s="9"/>
      <c r="R44" s="9"/>
      <c r="S44" s="9">
        <f t="shared" si="22"/>
        <v>26</v>
      </c>
      <c r="T44" s="19">
        <f t="shared" si="23"/>
        <v>17</v>
      </c>
      <c r="U44" s="24">
        <v>16</v>
      </c>
      <c r="V44" s="9">
        <f t="shared" si="32"/>
        <v>0</v>
      </c>
      <c r="W44" s="9">
        <f t="shared" si="24"/>
        <v>36</v>
      </c>
      <c r="X44" s="9">
        <f t="shared" si="25"/>
        <v>0</v>
      </c>
      <c r="Y44" s="9">
        <f t="shared" si="26"/>
        <v>0</v>
      </c>
      <c r="Z44" s="9">
        <f t="shared" si="21"/>
        <v>0</v>
      </c>
      <c r="AA44" s="9">
        <f t="shared" si="27"/>
        <v>0</v>
      </c>
      <c r="AB44" s="9">
        <f t="shared" si="28"/>
        <v>16</v>
      </c>
      <c r="AC44" s="9">
        <f t="shared" si="11"/>
        <v>0</v>
      </c>
      <c r="AD44" s="9">
        <f t="shared" si="12"/>
        <v>2.88</v>
      </c>
      <c r="AE44" s="9">
        <f t="shared" si="13"/>
        <v>1.58</v>
      </c>
      <c r="AF44" s="9">
        <f t="shared" si="31"/>
        <v>4.46</v>
      </c>
      <c r="AG44" s="9">
        <f t="shared" si="29"/>
        <v>52</v>
      </c>
      <c r="AH44" s="28">
        <f t="shared" si="14"/>
        <v>11.13</v>
      </c>
      <c r="AI44" s="29">
        <f t="shared" si="30"/>
        <v>0.3091666666666667</v>
      </c>
      <c r="AJ44" s="32"/>
    </row>
    <row r="45" spans="1:36" x14ac:dyDescent="0.2">
      <c r="A45" s="3" t="s">
        <v>143</v>
      </c>
      <c r="B45" s="3" t="s">
        <v>144</v>
      </c>
      <c r="C45" s="3" t="s">
        <v>291</v>
      </c>
      <c r="D45" s="3" t="s">
        <v>105</v>
      </c>
      <c r="G45" s="7">
        <v>1.5526003980368165E-3</v>
      </c>
      <c r="H45" s="7"/>
      <c r="I45" s="7"/>
      <c r="J45" s="7">
        <v>4.970329626815153E-2</v>
      </c>
      <c r="K45" s="15"/>
      <c r="L45" s="2" t="s">
        <v>58</v>
      </c>
      <c r="M45" s="2" t="s">
        <v>107</v>
      </c>
      <c r="N45" s="38">
        <v>26</v>
      </c>
      <c r="O45" s="24"/>
      <c r="P45" s="9"/>
      <c r="Q45" s="9"/>
      <c r="R45" s="9"/>
      <c r="S45" s="9">
        <f t="shared" si="22"/>
        <v>26</v>
      </c>
      <c r="T45" s="19">
        <f t="shared" si="23"/>
        <v>17</v>
      </c>
      <c r="U45" s="24">
        <v>16</v>
      </c>
      <c r="V45" s="9">
        <f t="shared" si="32"/>
        <v>0</v>
      </c>
      <c r="W45" s="9">
        <f t="shared" si="24"/>
        <v>36</v>
      </c>
      <c r="X45" s="9">
        <f t="shared" si="25"/>
        <v>0</v>
      </c>
      <c r="Y45" s="9">
        <f t="shared" si="26"/>
        <v>0</v>
      </c>
      <c r="Z45" s="9">
        <f t="shared" si="21"/>
        <v>0</v>
      </c>
      <c r="AA45" s="9">
        <f t="shared" si="27"/>
        <v>0</v>
      </c>
      <c r="AB45" s="9">
        <f t="shared" si="28"/>
        <v>16</v>
      </c>
      <c r="AC45" s="9">
        <f t="shared" si="11"/>
        <v>0</v>
      </c>
      <c r="AD45" s="9">
        <f t="shared" si="12"/>
        <v>2.88</v>
      </c>
      <c r="AE45" s="9">
        <f t="shared" si="13"/>
        <v>1.58</v>
      </c>
      <c r="AF45" s="9">
        <f t="shared" si="31"/>
        <v>4.46</v>
      </c>
      <c r="AG45" s="9">
        <f t="shared" si="29"/>
        <v>52</v>
      </c>
      <c r="AH45" s="28">
        <f t="shared" si="14"/>
        <v>11.13</v>
      </c>
      <c r="AI45" s="29">
        <f t="shared" si="30"/>
        <v>0.3091666666666667</v>
      </c>
      <c r="AJ45" s="32"/>
    </row>
    <row r="46" spans="1:36" x14ac:dyDescent="0.2">
      <c r="A46" s="3" t="s">
        <v>164</v>
      </c>
      <c r="B46" s="3" t="s">
        <v>165</v>
      </c>
      <c r="C46" s="3" t="s">
        <v>292</v>
      </c>
      <c r="D46" s="3" t="s">
        <v>105</v>
      </c>
      <c r="G46" s="7">
        <v>7.676710416788889E-4</v>
      </c>
      <c r="H46" s="7"/>
      <c r="I46" s="7"/>
      <c r="J46" s="7">
        <v>2.4575403477477106E-2</v>
      </c>
      <c r="K46" s="15"/>
      <c r="L46" s="2" t="s">
        <v>58</v>
      </c>
      <c r="M46" s="2" t="s">
        <v>107</v>
      </c>
      <c r="N46" s="38">
        <v>26</v>
      </c>
      <c r="O46" s="24"/>
      <c r="P46" s="9"/>
      <c r="Q46" s="9"/>
      <c r="R46" s="9"/>
      <c r="S46" s="9">
        <f t="shared" si="22"/>
        <v>26</v>
      </c>
      <c r="T46" s="19">
        <f t="shared" si="23"/>
        <v>17</v>
      </c>
      <c r="U46" s="24">
        <v>16</v>
      </c>
      <c r="V46" s="9">
        <f t="shared" si="32"/>
        <v>0</v>
      </c>
      <c r="W46" s="9">
        <f t="shared" si="24"/>
        <v>36</v>
      </c>
      <c r="X46" s="9">
        <f t="shared" si="25"/>
        <v>0</v>
      </c>
      <c r="Y46" s="9">
        <f t="shared" si="26"/>
        <v>0</v>
      </c>
      <c r="Z46" s="9">
        <f t="shared" si="21"/>
        <v>0</v>
      </c>
      <c r="AA46" s="9">
        <f t="shared" si="27"/>
        <v>0</v>
      </c>
      <c r="AB46" s="9">
        <f t="shared" si="28"/>
        <v>16</v>
      </c>
      <c r="AC46" s="9">
        <f t="shared" si="11"/>
        <v>0</v>
      </c>
      <c r="AD46" s="9">
        <f t="shared" si="12"/>
        <v>2.88</v>
      </c>
      <c r="AE46" s="9">
        <f t="shared" si="13"/>
        <v>1.58</v>
      </c>
      <c r="AF46" s="9">
        <f t="shared" si="31"/>
        <v>4.46</v>
      </c>
      <c r="AG46" s="9">
        <f t="shared" si="29"/>
        <v>52</v>
      </c>
      <c r="AH46" s="28">
        <f t="shared" si="14"/>
        <v>11.13</v>
      </c>
      <c r="AI46" s="29">
        <f t="shared" si="30"/>
        <v>0.3091666666666667</v>
      </c>
      <c r="AJ46" s="32"/>
    </row>
    <row r="47" spans="1:36" x14ac:dyDescent="0.2">
      <c r="A47" s="3" t="s">
        <v>123</v>
      </c>
      <c r="B47" s="3" t="s">
        <v>124</v>
      </c>
      <c r="C47" s="3" t="s">
        <v>293</v>
      </c>
      <c r="D47" s="3" t="s">
        <v>105</v>
      </c>
      <c r="G47" s="7">
        <v>3.751680771363025E-3</v>
      </c>
      <c r="H47" s="7"/>
      <c r="I47" s="7"/>
      <c r="J47" s="7">
        <v>0.12010231423253954</v>
      </c>
      <c r="K47" s="15"/>
      <c r="L47" s="2" t="s">
        <v>58</v>
      </c>
      <c r="M47" s="2" t="s">
        <v>107</v>
      </c>
      <c r="N47" s="38">
        <v>26</v>
      </c>
      <c r="O47" s="24"/>
      <c r="P47" s="9"/>
      <c r="Q47" s="9"/>
      <c r="R47" s="9"/>
      <c r="S47" s="9">
        <f t="shared" si="22"/>
        <v>26</v>
      </c>
      <c r="T47" s="19">
        <f t="shared" si="23"/>
        <v>17</v>
      </c>
      <c r="U47" s="24">
        <v>16</v>
      </c>
      <c r="V47" s="9">
        <f t="shared" si="32"/>
        <v>0</v>
      </c>
      <c r="W47" s="9">
        <f t="shared" si="24"/>
        <v>36</v>
      </c>
      <c r="X47" s="9">
        <f t="shared" si="25"/>
        <v>0</v>
      </c>
      <c r="Y47" s="9">
        <f t="shared" si="26"/>
        <v>0</v>
      </c>
      <c r="Z47" s="9">
        <f t="shared" si="21"/>
        <v>0</v>
      </c>
      <c r="AA47" s="9">
        <f t="shared" si="27"/>
        <v>0</v>
      </c>
      <c r="AB47" s="9">
        <f t="shared" si="28"/>
        <v>16</v>
      </c>
      <c r="AC47" s="9">
        <f t="shared" si="11"/>
        <v>0</v>
      </c>
      <c r="AD47" s="9">
        <f t="shared" si="12"/>
        <v>2.88</v>
      </c>
      <c r="AE47" s="9">
        <f t="shared" si="13"/>
        <v>1.58</v>
      </c>
      <c r="AF47" s="9">
        <f t="shared" si="31"/>
        <v>4.46</v>
      </c>
      <c r="AG47" s="9">
        <f t="shared" si="29"/>
        <v>52</v>
      </c>
      <c r="AH47" s="28">
        <f t="shared" si="14"/>
        <v>11.13</v>
      </c>
      <c r="AI47" s="29">
        <f t="shared" si="30"/>
        <v>0.3091666666666667</v>
      </c>
      <c r="AJ47" s="32"/>
    </row>
    <row r="48" spans="1:36" x14ac:dyDescent="0.2">
      <c r="A48" s="3" t="s">
        <v>162</v>
      </c>
      <c r="B48" s="3" t="s">
        <v>163</v>
      </c>
      <c r="C48" s="3" t="s">
        <v>294</v>
      </c>
      <c r="D48" s="3" t="s">
        <v>105</v>
      </c>
      <c r="G48" s="7">
        <v>7.676710416788889E-4</v>
      </c>
      <c r="H48" s="7"/>
      <c r="I48" s="7"/>
      <c r="J48" s="7">
        <v>2.4575403477477106E-2</v>
      </c>
      <c r="K48" s="15"/>
      <c r="L48" s="2" t="s">
        <v>58</v>
      </c>
      <c r="M48" s="2" t="s">
        <v>107</v>
      </c>
      <c r="N48" s="38">
        <v>26</v>
      </c>
      <c r="O48" s="24"/>
      <c r="P48" s="9"/>
      <c r="Q48" s="9"/>
      <c r="R48" s="9"/>
      <c r="S48" s="9">
        <f t="shared" si="22"/>
        <v>26</v>
      </c>
      <c r="T48" s="19">
        <f t="shared" si="23"/>
        <v>17</v>
      </c>
      <c r="U48" s="24">
        <v>16</v>
      </c>
      <c r="V48" s="9">
        <f t="shared" si="32"/>
        <v>0</v>
      </c>
      <c r="W48" s="9">
        <f t="shared" si="24"/>
        <v>36</v>
      </c>
      <c r="X48" s="9">
        <f t="shared" si="25"/>
        <v>0</v>
      </c>
      <c r="Y48" s="9">
        <f t="shared" si="26"/>
        <v>0</v>
      </c>
      <c r="Z48" s="9">
        <f t="shared" si="21"/>
        <v>0</v>
      </c>
      <c r="AA48" s="9">
        <f t="shared" si="27"/>
        <v>0</v>
      </c>
      <c r="AB48" s="9">
        <f t="shared" si="28"/>
        <v>16</v>
      </c>
      <c r="AC48" s="9">
        <f t="shared" si="11"/>
        <v>0</v>
      </c>
      <c r="AD48" s="9">
        <f t="shared" si="12"/>
        <v>2.88</v>
      </c>
      <c r="AE48" s="9">
        <f t="shared" si="13"/>
        <v>1.58</v>
      </c>
      <c r="AF48" s="9">
        <f t="shared" si="31"/>
        <v>4.46</v>
      </c>
      <c r="AG48" s="9">
        <f t="shared" si="29"/>
        <v>52</v>
      </c>
      <c r="AH48" s="28">
        <f t="shared" si="14"/>
        <v>11.13</v>
      </c>
      <c r="AI48" s="29">
        <f t="shared" si="30"/>
        <v>0.3091666666666667</v>
      </c>
      <c r="AJ48" s="32"/>
    </row>
    <row r="49" spans="1:36" x14ac:dyDescent="0.2">
      <c r="A49" s="3" t="s">
        <v>131</v>
      </c>
      <c r="B49" s="3" t="s">
        <v>132</v>
      </c>
      <c r="C49" s="3" t="s">
        <v>295</v>
      </c>
      <c r="D49" s="3" t="s">
        <v>105</v>
      </c>
      <c r="G49" s="7">
        <v>3.030159523373648E-3</v>
      </c>
      <c r="H49" s="7"/>
      <c r="I49" s="7"/>
      <c r="J49" s="7">
        <v>9.7004301119875083E-2</v>
      </c>
      <c r="K49" s="15"/>
      <c r="L49" s="2" t="s">
        <v>58</v>
      </c>
      <c r="M49" s="2" t="s">
        <v>107</v>
      </c>
      <c r="N49" s="38">
        <v>26</v>
      </c>
      <c r="O49" s="24"/>
      <c r="P49" s="9"/>
      <c r="Q49" s="9"/>
      <c r="R49" s="9"/>
      <c r="S49" s="9">
        <f t="shared" si="22"/>
        <v>26</v>
      </c>
      <c r="T49" s="19">
        <f t="shared" si="23"/>
        <v>17</v>
      </c>
      <c r="U49" s="24">
        <v>16</v>
      </c>
      <c r="V49" s="9">
        <f t="shared" si="32"/>
        <v>0</v>
      </c>
      <c r="W49" s="9">
        <f t="shared" si="24"/>
        <v>36</v>
      </c>
      <c r="X49" s="9">
        <f t="shared" si="25"/>
        <v>0</v>
      </c>
      <c r="Y49" s="9">
        <f t="shared" si="26"/>
        <v>0</v>
      </c>
      <c r="Z49" s="9">
        <f t="shared" si="21"/>
        <v>0</v>
      </c>
      <c r="AA49" s="9">
        <f t="shared" si="27"/>
        <v>0</v>
      </c>
      <c r="AB49" s="9">
        <f t="shared" si="28"/>
        <v>16</v>
      </c>
      <c r="AC49" s="9">
        <f t="shared" si="11"/>
        <v>0</v>
      </c>
      <c r="AD49" s="9">
        <f t="shared" si="12"/>
        <v>2.88</v>
      </c>
      <c r="AE49" s="9">
        <f t="shared" si="13"/>
        <v>1.58</v>
      </c>
      <c r="AF49" s="9">
        <f t="shared" si="31"/>
        <v>4.46</v>
      </c>
      <c r="AG49" s="9">
        <f t="shared" si="29"/>
        <v>52</v>
      </c>
      <c r="AH49" s="28">
        <f t="shared" si="14"/>
        <v>11.13</v>
      </c>
      <c r="AI49" s="29">
        <f t="shared" si="30"/>
        <v>0.3091666666666667</v>
      </c>
      <c r="AJ49" s="32"/>
    </row>
    <row r="50" spans="1:36" x14ac:dyDescent="0.2">
      <c r="A50" s="3" t="s">
        <v>135</v>
      </c>
      <c r="B50" s="3" t="s">
        <v>136</v>
      </c>
      <c r="C50" s="3" t="s">
        <v>296</v>
      </c>
      <c r="D50" s="3" t="s">
        <v>105</v>
      </c>
      <c r="G50" s="7">
        <v>2.4876122997947144E-3</v>
      </c>
      <c r="H50" s="7"/>
      <c r="I50" s="7"/>
      <c r="J50" s="7">
        <v>7.9635771891681917E-2</v>
      </c>
      <c r="K50" s="15"/>
      <c r="L50" s="2" t="s">
        <v>58</v>
      </c>
      <c r="M50" s="2" t="s">
        <v>107</v>
      </c>
      <c r="N50" s="38">
        <v>26</v>
      </c>
      <c r="O50" s="24"/>
      <c r="P50" s="9"/>
      <c r="Q50" s="9"/>
      <c r="R50" s="9"/>
      <c r="S50" s="9">
        <f t="shared" si="22"/>
        <v>26</v>
      </c>
      <c r="T50" s="19">
        <f t="shared" si="23"/>
        <v>17</v>
      </c>
      <c r="U50" s="24">
        <v>16</v>
      </c>
      <c r="V50" s="9">
        <f t="shared" si="32"/>
        <v>0</v>
      </c>
      <c r="W50" s="9">
        <f t="shared" si="24"/>
        <v>36</v>
      </c>
      <c r="X50" s="9">
        <f t="shared" si="25"/>
        <v>0</v>
      </c>
      <c r="Y50" s="9">
        <f t="shared" si="26"/>
        <v>0</v>
      </c>
      <c r="Z50" s="9">
        <f t="shared" si="21"/>
        <v>0</v>
      </c>
      <c r="AA50" s="9">
        <f t="shared" si="27"/>
        <v>0</v>
      </c>
      <c r="AB50" s="9">
        <f t="shared" si="28"/>
        <v>16</v>
      </c>
      <c r="AC50" s="9">
        <f t="shared" si="11"/>
        <v>0</v>
      </c>
      <c r="AD50" s="9">
        <f t="shared" si="12"/>
        <v>2.88</v>
      </c>
      <c r="AE50" s="9">
        <f t="shared" si="13"/>
        <v>1.58</v>
      </c>
      <c r="AF50" s="9">
        <f t="shared" si="31"/>
        <v>4.46</v>
      </c>
      <c r="AG50" s="9">
        <f t="shared" si="29"/>
        <v>52</v>
      </c>
      <c r="AH50" s="28">
        <f t="shared" si="14"/>
        <v>11.13</v>
      </c>
      <c r="AI50" s="29">
        <f t="shared" si="30"/>
        <v>0.3091666666666667</v>
      </c>
      <c r="AJ50" s="32"/>
    </row>
    <row r="51" spans="1:36" x14ac:dyDescent="0.2">
      <c r="A51" s="3" t="s">
        <v>172</v>
      </c>
      <c r="B51" s="3" t="s">
        <v>173</v>
      </c>
      <c r="C51" s="3" t="s">
        <v>297</v>
      </c>
      <c r="D51" s="3" t="s">
        <v>105</v>
      </c>
      <c r="G51" s="7">
        <v>2.7127361178946695E-4</v>
      </c>
      <c r="H51" s="7"/>
      <c r="I51" s="7"/>
      <c r="J51" s="7">
        <v>8.6842646140965866E-3</v>
      </c>
      <c r="K51" s="15"/>
      <c r="L51" s="2" t="s">
        <v>58</v>
      </c>
      <c r="M51" s="2" t="s">
        <v>107</v>
      </c>
      <c r="N51" s="38">
        <v>26</v>
      </c>
      <c r="O51" s="24"/>
      <c r="P51" s="9"/>
      <c r="Q51" s="9"/>
      <c r="R51" s="9"/>
      <c r="S51" s="9">
        <f t="shared" si="22"/>
        <v>26</v>
      </c>
      <c r="T51" s="19">
        <f t="shared" si="23"/>
        <v>17</v>
      </c>
      <c r="U51" s="24">
        <v>16</v>
      </c>
      <c r="V51" s="9">
        <f t="shared" si="32"/>
        <v>0</v>
      </c>
      <c r="W51" s="9">
        <f t="shared" si="24"/>
        <v>36</v>
      </c>
      <c r="X51" s="9">
        <f t="shared" si="25"/>
        <v>0</v>
      </c>
      <c r="Y51" s="9">
        <f t="shared" si="26"/>
        <v>0</v>
      </c>
      <c r="Z51" s="9">
        <f t="shared" si="21"/>
        <v>0</v>
      </c>
      <c r="AA51" s="9">
        <f t="shared" si="27"/>
        <v>0</v>
      </c>
      <c r="AB51" s="9">
        <f t="shared" si="28"/>
        <v>16</v>
      </c>
      <c r="AC51" s="9">
        <f t="shared" si="11"/>
        <v>0</v>
      </c>
      <c r="AD51" s="9">
        <f t="shared" si="12"/>
        <v>2.88</v>
      </c>
      <c r="AE51" s="9">
        <f t="shared" si="13"/>
        <v>1.58</v>
      </c>
      <c r="AF51" s="9">
        <f t="shared" si="31"/>
        <v>4.46</v>
      </c>
      <c r="AG51" s="9">
        <f t="shared" si="29"/>
        <v>52</v>
      </c>
      <c r="AH51" s="28">
        <f t="shared" si="14"/>
        <v>11.13</v>
      </c>
      <c r="AI51" s="29">
        <f t="shared" si="30"/>
        <v>0.3091666666666667</v>
      </c>
      <c r="AJ51" s="32"/>
    </row>
    <row r="52" spans="1:36" x14ac:dyDescent="0.2">
      <c r="A52" s="3" t="s">
        <v>66</v>
      </c>
      <c r="B52" s="3" t="s">
        <v>67</v>
      </c>
      <c r="C52" s="3" t="s">
        <v>298</v>
      </c>
      <c r="D52" s="3" t="s">
        <v>53</v>
      </c>
      <c r="G52" s="7">
        <v>4.2135615718943693E-4</v>
      </c>
      <c r="H52" s="7"/>
      <c r="I52" s="15"/>
      <c r="J52" s="7"/>
      <c r="K52" s="15"/>
      <c r="L52" s="2" t="s">
        <v>58</v>
      </c>
      <c r="M52" s="2" t="s">
        <v>107</v>
      </c>
      <c r="N52" s="38">
        <v>26</v>
      </c>
      <c r="O52" s="24"/>
      <c r="P52" s="9"/>
      <c r="Q52" s="9"/>
      <c r="R52" s="9"/>
      <c r="S52" s="9">
        <f t="shared" si="22"/>
        <v>26</v>
      </c>
      <c r="T52" s="19">
        <f t="shared" si="23"/>
        <v>17</v>
      </c>
      <c r="U52" s="24">
        <v>16</v>
      </c>
      <c r="V52" s="9">
        <f t="shared" si="32"/>
        <v>0</v>
      </c>
      <c r="W52" s="9">
        <f t="shared" si="24"/>
        <v>36</v>
      </c>
      <c r="X52" s="9">
        <f t="shared" si="25"/>
        <v>0</v>
      </c>
      <c r="Y52" s="9">
        <f t="shared" si="26"/>
        <v>0</v>
      </c>
      <c r="Z52" s="9">
        <f t="shared" si="21"/>
        <v>0</v>
      </c>
      <c r="AA52" s="9">
        <f t="shared" si="27"/>
        <v>0</v>
      </c>
      <c r="AB52" s="9">
        <f t="shared" si="28"/>
        <v>16</v>
      </c>
      <c r="AC52" s="9">
        <f t="shared" si="11"/>
        <v>0</v>
      </c>
      <c r="AD52" s="9">
        <f t="shared" si="12"/>
        <v>2.88</v>
      </c>
      <c r="AE52" s="9">
        <f t="shared" si="13"/>
        <v>1.58</v>
      </c>
      <c r="AF52" s="9">
        <f t="shared" si="31"/>
        <v>4.46</v>
      </c>
      <c r="AG52" s="9">
        <f t="shared" si="29"/>
        <v>52</v>
      </c>
      <c r="AH52" s="28">
        <f t="shared" si="14"/>
        <v>11.13</v>
      </c>
      <c r="AI52" s="29">
        <f t="shared" si="30"/>
        <v>0.3091666666666667</v>
      </c>
      <c r="AJ52" s="32"/>
    </row>
    <row r="53" spans="1:36" x14ac:dyDescent="0.2">
      <c r="A53" s="3" t="s">
        <v>112</v>
      </c>
      <c r="B53" s="3" t="s">
        <v>113</v>
      </c>
      <c r="C53" s="3" t="s">
        <v>252</v>
      </c>
      <c r="D53" s="3" t="s">
        <v>87</v>
      </c>
      <c r="G53" s="7">
        <v>6.4704249032415239E-3</v>
      </c>
      <c r="H53" s="7"/>
      <c r="I53" s="7"/>
      <c r="J53" s="7"/>
      <c r="K53" s="15"/>
      <c r="L53" s="2" t="s">
        <v>88</v>
      </c>
      <c r="M53" s="2"/>
      <c r="N53" s="38">
        <v>22</v>
      </c>
      <c r="O53" s="38">
        <v>1</v>
      </c>
      <c r="P53" s="9"/>
      <c r="Q53" s="9"/>
      <c r="R53" s="9"/>
      <c r="S53" s="9">
        <f t="shared" si="22"/>
        <v>23</v>
      </c>
      <c r="T53" s="19">
        <f t="shared" si="23"/>
        <v>14</v>
      </c>
      <c r="U53" s="24">
        <v>10</v>
      </c>
      <c r="V53" s="9">
        <f t="shared" si="32"/>
        <v>0</v>
      </c>
      <c r="W53" s="9">
        <f t="shared" si="24"/>
        <v>36</v>
      </c>
      <c r="X53" s="9">
        <f t="shared" si="25"/>
        <v>0</v>
      </c>
      <c r="Y53" s="9">
        <f t="shared" si="26"/>
        <v>0</v>
      </c>
      <c r="Z53" s="9">
        <f t="shared" si="21"/>
        <v>0</v>
      </c>
      <c r="AA53" s="9">
        <f t="shared" si="27"/>
        <v>0</v>
      </c>
      <c r="AB53" s="9">
        <f t="shared" si="28"/>
        <v>10</v>
      </c>
      <c r="AC53" s="9">
        <f t="shared" si="11"/>
        <v>0</v>
      </c>
      <c r="AD53" s="9">
        <f t="shared" si="12"/>
        <v>2.88</v>
      </c>
      <c r="AE53" s="9">
        <f t="shared" si="13"/>
        <v>1.1000000000000001</v>
      </c>
      <c r="AF53" s="9">
        <f t="shared" si="31"/>
        <v>3.98</v>
      </c>
      <c r="AG53" s="9">
        <f t="shared" si="29"/>
        <v>46</v>
      </c>
      <c r="AH53" s="28">
        <f t="shared" si="14"/>
        <v>8.6100000000000012</v>
      </c>
      <c r="AI53" s="29">
        <f t="shared" si="30"/>
        <v>0.23916666666666669</v>
      </c>
      <c r="AJ53" s="32" t="s">
        <v>237</v>
      </c>
    </row>
    <row r="54" spans="1:36" x14ac:dyDescent="0.2">
      <c r="A54" s="3" t="s">
        <v>238</v>
      </c>
      <c r="B54" s="3" t="s">
        <v>239</v>
      </c>
      <c r="C54" s="3" t="s">
        <v>253</v>
      </c>
      <c r="L54" s="2" t="s">
        <v>329</v>
      </c>
      <c r="M54" s="2" t="s">
        <v>240</v>
      </c>
      <c r="N54" s="38"/>
      <c r="O54" s="38"/>
      <c r="P54" s="9"/>
      <c r="Q54" s="9"/>
      <c r="R54" s="9"/>
      <c r="S54" s="9">
        <f t="shared" si="22"/>
        <v>0</v>
      </c>
      <c r="T54" s="19">
        <f t="shared" si="23"/>
        <v>-9</v>
      </c>
      <c r="U54" s="24"/>
      <c r="V54" s="9">
        <f t="shared" si="32"/>
        <v>0</v>
      </c>
      <c r="W54" s="9">
        <f t="shared" si="24"/>
        <v>36</v>
      </c>
      <c r="X54" s="9">
        <f t="shared" si="25"/>
        <v>0</v>
      </c>
      <c r="Y54" s="9">
        <f t="shared" si="26"/>
        <v>0</v>
      </c>
      <c r="Z54" s="9">
        <f t="shared" si="21"/>
        <v>0</v>
      </c>
      <c r="AA54" s="9">
        <f t="shared" si="27"/>
        <v>0</v>
      </c>
      <c r="AB54" s="9">
        <f t="shared" si="28"/>
        <v>0</v>
      </c>
      <c r="AC54" s="9">
        <f t="shared" si="11"/>
        <v>0</v>
      </c>
      <c r="AD54" s="9">
        <f t="shared" si="12"/>
        <v>2.88</v>
      </c>
      <c r="AE54" s="9">
        <f t="shared" si="13"/>
        <v>0.3</v>
      </c>
      <c r="AF54" s="9">
        <f t="shared" si="31"/>
        <v>3.1799999999999997</v>
      </c>
      <c r="AG54" s="9">
        <f t="shared" si="29"/>
        <v>36</v>
      </c>
      <c r="AH54" s="28">
        <f t="shared" si="14"/>
        <v>22.41</v>
      </c>
      <c r="AI54" s="29">
        <f t="shared" si="30"/>
        <v>0.62250000000000005</v>
      </c>
      <c r="AJ54" s="32" t="s">
        <v>241</v>
      </c>
    </row>
    <row r="55" spans="1:36" x14ac:dyDescent="0.2">
      <c r="A55" s="3" t="s">
        <v>145</v>
      </c>
      <c r="B55" s="3" t="s">
        <v>146</v>
      </c>
      <c r="C55" s="3" t="s">
        <v>286</v>
      </c>
      <c r="D55" s="3" t="s">
        <v>105</v>
      </c>
      <c r="G55" s="7">
        <v>1.52370891902634E-3</v>
      </c>
      <c r="H55" s="7"/>
      <c r="I55" s="7"/>
      <c r="J55" s="7">
        <v>4.8778395216536215E-2</v>
      </c>
      <c r="K55" s="15"/>
      <c r="L55" s="2" t="s">
        <v>205</v>
      </c>
      <c r="M55" s="2"/>
      <c r="N55" s="38">
        <v>37</v>
      </c>
      <c r="O55" s="24"/>
      <c r="P55" s="9"/>
      <c r="Q55" s="9"/>
      <c r="R55" s="9"/>
      <c r="S55" s="9">
        <f t="shared" si="22"/>
        <v>37</v>
      </c>
      <c r="T55" s="19">
        <f t="shared" si="23"/>
        <v>28</v>
      </c>
      <c r="U55" s="24">
        <v>30</v>
      </c>
      <c r="V55" s="9">
        <f t="shared" si="32"/>
        <v>0</v>
      </c>
      <c r="W55" s="9">
        <f t="shared" si="24"/>
        <v>36</v>
      </c>
      <c r="X55" s="9">
        <f t="shared" si="25"/>
        <v>0</v>
      </c>
      <c r="Y55" s="9">
        <f t="shared" si="26"/>
        <v>0</v>
      </c>
      <c r="Z55" s="9">
        <f t="shared" si="21"/>
        <v>0</v>
      </c>
      <c r="AA55" s="9">
        <f t="shared" si="27"/>
        <v>0</v>
      </c>
      <c r="AB55" s="9">
        <f t="shared" si="28"/>
        <v>30</v>
      </c>
      <c r="AC55" s="9">
        <f t="shared" si="11"/>
        <v>0</v>
      </c>
      <c r="AD55" s="9">
        <f t="shared" si="12"/>
        <v>2.88</v>
      </c>
      <c r="AE55" s="9">
        <f t="shared" si="13"/>
        <v>2.6999999999999997</v>
      </c>
      <c r="AF55" s="9">
        <f t="shared" si="31"/>
        <v>5.58</v>
      </c>
      <c r="AG55" s="9">
        <f t="shared" si="29"/>
        <v>66</v>
      </c>
      <c r="AH55" s="28">
        <f t="shared" si="14"/>
        <v>13.010000000000003</v>
      </c>
      <c r="AI55" s="29">
        <f t="shared" si="30"/>
        <v>0.36138888888888898</v>
      </c>
      <c r="AJ55" s="32"/>
    </row>
    <row r="56" spans="1:36" x14ac:dyDescent="0.2">
      <c r="A56" s="3" t="s">
        <v>56</v>
      </c>
      <c r="B56" s="3" t="s">
        <v>57</v>
      </c>
      <c r="C56" s="3" t="s">
        <v>287</v>
      </c>
      <c r="D56" s="3" t="s">
        <v>53</v>
      </c>
      <c r="G56" s="7">
        <v>2.2741216460261935E-3</v>
      </c>
      <c r="H56" s="7"/>
      <c r="I56" s="15"/>
      <c r="J56" s="7"/>
      <c r="K56" s="15"/>
      <c r="L56" s="2" t="s">
        <v>205</v>
      </c>
      <c r="M56" s="2"/>
      <c r="N56" s="38">
        <v>37</v>
      </c>
      <c r="O56" s="24"/>
      <c r="P56" s="9"/>
      <c r="Q56" s="9"/>
      <c r="R56" s="9"/>
      <c r="S56" s="9">
        <f t="shared" si="22"/>
        <v>37</v>
      </c>
      <c r="T56" s="19">
        <f t="shared" si="23"/>
        <v>28</v>
      </c>
      <c r="U56" s="24">
        <v>30</v>
      </c>
      <c r="V56" s="9">
        <f t="shared" si="32"/>
        <v>0</v>
      </c>
      <c r="W56" s="9">
        <f t="shared" si="24"/>
        <v>36</v>
      </c>
      <c r="X56" s="9">
        <f t="shared" si="25"/>
        <v>0</v>
      </c>
      <c r="Y56" s="9">
        <f t="shared" si="26"/>
        <v>0</v>
      </c>
      <c r="Z56" s="9">
        <f t="shared" si="21"/>
        <v>0</v>
      </c>
      <c r="AA56" s="9">
        <f t="shared" si="27"/>
        <v>0</v>
      </c>
      <c r="AB56" s="9">
        <f t="shared" si="28"/>
        <v>30</v>
      </c>
      <c r="AC56" s="9">
        <f t="shared" si="11"/>
        <v>0</v>
      </c>
      <c r="AD56" s="9">
        <f t="shared" si="12"/>
        <v>2.88</v>
      </c>
      <c r="AE56" s="9">
        <f t="shared" si="13"/>
        <v>2.6999999999999997</v>
      </c>
      <c r="AF56" s="9">
        <f t="shared" si="31"/>
        <v>5.58</v>
      </c>
      <c r="AG56" s="9">
        <f t="shared" si="29"/>
        <v>66</v>
      </c>
      <c r="AH56" s="28">
        <f t="shared" si="14"/>
        <v>13.010000000000003</v>
      </c>
      <c r="AI56" s="29">
        <f t="shared" si="30"/>
        <v>0.36138888888888898</v>
      </c>
      <c r="AJ56" s="32"/>
    </row>
    <row r="57" spans="1:36" x14ac:dyDescent="0.2">
      <c r="A57" s="3" t="s">
        <v>63</v>
      </c>
      <c r="B57" s="3" t="s">
        <v>64</v>
      </c>
      <c r="C57" s="3" t="s">
        <v>288</v>
      </c>
      <c r="D57" s="3" t="s">
        <v>53</v>
      </c>
      <c r="G57" s="7">
        <v>5.425472235789339E-4</v>
      </c>
      <c r="H57" s="7"/>
      <c r="I57" s="15"/>
      <c r="J57" s="7"/>
      <c r="K57" s="15"/>
      <c r="L57" s="2" t="s">
        <v>205</v>
      </c>
      <c r="M57" s="2"/>
      <c r="N57" s="38">
        <v>37</v>
      </c>
      <c r="O57" s="24"/>
      <c r="P57" s="9"/>
      <c r="Q57" s="9"/>
      <c r="R57" s="9"/>
      <c r="S57" s="9">
        <f t="shared" si="22"/>
        <v>37</v>
      </c>
      <c r="T57" s="19">
        <f t="shared" si="23"/>
        <v>28</v>
      </c>
      <c r="U57" s="24">
        <v>30</v>
      </c>
      <c r="V57" s="9">
        <f t="shared" si="32"/>
        <v>0</v>
      </c>
      <c r="W57" s="9">
        <f t="shared" si="24"/>
        <v>36</v>
      </c>
      <c r="X57" s="9">
        <f t="shared" si="25"/>
        <v>0</v>
      </c>
      <c r="Y57" s="9">
        <f t="shared" si="26"/>
        <v>0</v>
      </c>
      <c r="Z57" s="9">
        <f t="shared" si="21"/>
        <v>0</v>
      </c>
      <c r="AA57" s="9">
        <f t="shared" si="27"/>
        <v>0</v>
      </c>
      <c r="AB57" s="9">
        <f t="shared" si="28"/>
        <v>30</v>
      </c>
      <c r="AC57" s="9">
        <f t="shared" si="11"/>
        <v>0</v>
      </c>
      <c r="AD57" s="9">
        <f t="shared" si="12"/>
        <v>2.88</v>
      </c>
      <c r="AE57" s="9">
        <f t="shared" si="13"/>
        <v>2.6999999999999997</v>
      </c>
      <c r="AF57" s="9">
        <f t="shared" si="31"/>
        <v>5.58</v>
      </c>
      <c r="AG57" s="9">
        <f t="shared" si="29"/>
        <v>66</v>
      </c>
      <c r="AH57" s="28">
        <f t="shared" si="14"/>
        <v>13.010000000000003</v>
      </c>
      <c r="AI57" s="29">
        <f t="shared" si="30"/>
        <v>0.36138888888888898</v>
      </c>
      <c r="AJ57" s="32"/>
    </row>
    <row r="58" spans="1:36" x14ac:dyDescent="0.2">
      <c r="A58" s="3" t="s">
        <v>68</v>
      </c>
      <c r="B58" s="3" t="s">
        <v>69</v>
      </c>
      <c r="C58" s="3" t="s">
        <v>289</v>
      </c>
      <c r="D58" s="3" t="s">
        <v>53</v>
      </c>
      <c r="G58" s="7">
        <v>5.425472235789339E-4</v>
      </c>
      <c r="H58" s="7"/>
      <c r="I58" s="15"/>
      <c r="J58" s="7"/>
      <c r="K58" s="15"/>
      <c r="L58" s="2" t="s">
        <v>205</v>
      </c>
      <c r="M58" s="2"/>
      <c r="N58" s="38">
        <v>37</v>
      </c>
      <c r="O58" s="24"/>
      <c r="P58" s="9"/>
      <c r="Q58" s="9"/>
      <c r="R58" s="9"/>
      <c r="S58" s="9">
        <f t="shared" si="22"/>
        <v>37</v>
      </c>
      <c r="T58" s="19">
        <f t="shared" si="23"/>
        <v>28</v>
      </c>
      <c r="U58" s="24">
        <v>30</v>
      </c>
      <c r="V58" s="9">
        <f t="shared" si="32"/>
        <v>0</v>
      </c>
      <c r="W58" s="9">
        <f t="shared" si="24"/>
        <v>36</v>
      </c>
      <c r="X58" s="9">
        <f t="shared" si="25"/>
        <v>0</v>
      </c>
      <c r="Y58" s="9">
        <f t="shared" si="26"/>
        <v>0</v>
      </c>
      <c r="Z58" s="9">
        <f t="shared" si="21"/>
        <v>0</v>
      </c>
      <c r="AA58" s="9">
        <f t="shared" si="27"/>
        <v>0</v>
      </c>
      <c r="AB58" s="9">
        <f t="shared" si="28"/>
        <v>30</v>
      </c>
      <c r="AC58" s="9">
        <f t="shared" si="11"/>
        <v>0</v>
      </c>
      <c r="AD58" s="9">
        <f t="shared" si="12"/>
        <v>2.88</v>
      </c>
      <c r="AE58" s="9">
        <f t="shared" si="13"/>
        <v>2.6999999999999997</v>
      </c>
      <c r="AF58" s="9">
        <f t="shared" si="31"/>
        <v>5.58</v>
      </c>
      <c r="AG58" s="9">
        <f t="shared" si="29"/>
        <v>66</v>
      </c>
      <c r="AH58" s="28">
        <f t="shared" si="14"/>
        <v>13.010000000000003</v>
      </c>
      <c r="AI58" s="29">
        <f t="shared" si="30"/>
        <v>0.36138888888888898</v>
      </c>
      <c r="AJ58" s="32"/>
    </row>
    <row r="59" spans="1:36" x14ac:dyDescent="0.2">
      <c r="A59" s="3" t="s">
        <v>59</v>
      </c>
      <c r="B59" s="3" t="s">
        <v>60</v>
      </c>
      <c r="C59" s="3" t="s">
        <v>290</v>
      </c>
      <c r="D59" s="3" t="s">
        <v>53</v>
      </c>
      <c r="G59" s="7">
        <v>1.7777242161367715E-3</v>
      </c>
      <c r="H59" s="7"/>
      <c r="I59" s="15"/>
      <c r="J59" s="7"/>
      <c r="K59" s="15"/>
      <c r="L59" s="2" t="s">
        <v>329</v>
      </c>
      <c r="M59" s="2" t="s">
        <v>269</v>
      </c>
      <c r="N59" s="38">
        <v>40</v>
      </c>
      <c r="O59" s="24"/>
      <c r="P59" s="9"/>
      <c r="Q59" s="9"/>
      <c r="R59" s="9"/>
      <c r="S59" s="9">
        <f t="shared" si="22"/>
        <v>40</v>
      </c>
      <c r="T59" s="19">
        <f t="shared" si="23"/>
        <v>31</v>
      </c>
      <c r="U59" s="24">
        <v>30</v>
      </c>
      <c r="V59" s="9">
        <f t="shared" si="32"/>
        <v>0</v>
      </c>
      <c r="W59" s="9">
        <f t="shared" si="24"/>
        <v>36</v>
      </c>
      <c r="X59" s="9">
        <f t="shared" si="25"/>
        <v>0</v>
      </c>
      <c r="Y59" s="9">
        <f t="shared" si="26"/>
        <v>0</v>
      </c>
      <c r="Z59" s="9">
        <f t="shared" si="21"/>
        <v>0</v>
      </c>
      <c r="AA59" s="9">
        <f t="shared" si="27"/>
        <v>0</v>
      </c>
      <c r="AB59" s="9">
        <f t="shared" si="28"/>
        <v>30</v>
      </c>
      <c r="AC59" s="9">
        <f t="shared" si="11"/>
        <v>0</v>
      </c>
      <c r="AD59" s="9">
        <f t="shared" si="12"/>
        <v>2.88</v>
      </c>
      <c r="AE59" s="9">
        <f t="shared" si="13"/>
        <v>2.6999999999999997</v>
      </c>
      <c r="AF59" s="9">
        <f t="shared" si="31"/>
        <v>5.58</v>
      </c>
      <c r="AG59" s="9">
        <f t="shared" si="29"/>
        <v>66</v>
      </c>
      <c r="AH59" s="28">
        <f t="shared" si="14"/>
        <v>10.010000000000002</v>
      </c>
      <c r="AI59" s="29">
        <f t="shared" si="30"/>
        <v>0.27805555555555561</v>
      </c>
      <c r="AJ59" s="32"/>
    </row>
    <row r="60" spans="1:36" x14ac:dyDescent="0.2">
      <c r="A60" s="3" t="s">
        <v>72</v>
      </c>
      <c r="C60" s="3" t="s">
        <v>278</v>
      </c>
      <c r="D60" s="3" t="s">
        <v>53</v>
      </c>
      <c r="E60" s="3" t="s">
        <v>53</v>
      </c>
      <c r="G60" s="7">
        <v>0</v>
      </c>
      <c r="H60" s="7"/>
      <c r="I60" s="7"/>
      <c r="J60" s="7"/>
      <c r="K60" s="15"/>
      <c r="L60" s="2" t="s">
        <v>236</v>
      </c>
      <c r="M60" s="2"/>
      <c r="N60" s="38"/>
      <c r="O60" s="24"/>
      <c r="P60" s="9"/>
      <c r="Q60" s="9"/>
      <c r="R60" s="9"/>
      <c r="S60" s="9">
        <f t="shared" si="22"/>
        <v>0</v>
      </c>
      <c r="T60" s="19">
        <f t="shared" si="23"/>
        <v>-9</v>
      </c>
      <c r="U60" s="24">
        <v>70</v>
      </c>
      <c r="V60" s="9">
        <f t="shared" si="32"/>
        <v>0</v>
      </c>
      <c r="W60" s="9">
        <f t="shared" si="24"/>
        <v>36</v>
      </c>
      <c r="X60" s="9">
        <f t="shared" si="25"/>
        <v>0</v>
      </c>
      <c r="Y60" s="9">
        <f t="shared" si="26"/>
        <v>0</v>
      </c>
      <c r="Z60" s="9">
        <f t="shared" si="21"/>
        <v>0</v>
      </c>
      <c r="AA60" s="9">
        <f t="shared" si="27"/>
        <v>0</v>
      </c>
      <c r="AB60" s="9">
        <f t="shared" si="28"/>
        <v>70</v>
      </c>
      <c r="AC60" s="9">
        <f t="shared" si="11"/>
        <v>0</v>
      </c>
      <c r="AD60" s="9">
        <f t="shared" si="12"/>
        <v>2.88</v>
      </c>
      <c r="AE60" s="9">
        <f t="shared" si="13"/>
        <v>5.9</v>
      </c>
      <c r="AF60" s="9">
        <f t="shared" si="31"/>
        <v>8.7800000000000011</v>
      </c>
      <c r="AG60" s="9">
        <f t="shared" si="29"/>
        <v>106</v>
      </c>
      <c r="AH60" s="28">
        <f t="shared" si="14"/>
        <v>86.809999999999988</v>
      </c>
      <c r="AI60" s="29">
        <f t="shared" si="30"/>
        <v>2.4113888888888884</v>
      </c>
      <c r="AJ60" s="32"/>
    </row>
    <row r="61" spans="1:36" x14ac:dyDescent="0.2">
      <c r="T61" s="1"/>
    </row>
    <row r="62" spans="1:36" x14ac:dyDescent="0.2">
      <c r="T62" s="1"/>
    </row>
    <row r="63" spans="1:36" x14ac:dyDescent="0.2">
      <c r="T63" s="1"/>
    </row>
  </sheetData>
  <autoFilter ref="A6:AJ61" xr:uid="{5EB41E1C-C4D1-455F-BCA4-03EF96AA1B18}"/>
  <phoneticPr fontId="9" type="noConversion"/>
  <dataValidations count="4">
    <dataValidation type="list" allowBlank="1" showInputMessage="1" showErrorMessage="1" sqref="O3" xr:uid="{62BAC621-4BCB-42F2-8E43-E067C4849686}">
      <formula1>"KS,PM"</formula1>
    </dataValidation>
    <dataValidation type="list" allowBlank="1" showInputMessage="1" showErrorMessage="1" sqref="Q4" xr:uid="{B5214D2D-6B1E-4CF5-8DF2-808AF32828C7}">
      <formula1>"Inclusive,Itemized"</formula1>
    </dataValidation>
    <dataValidation type="list" allowBlank="1" showInputMessage="1" showErrorMessage="1" sqref="O4" xr:uid="{F906FEC8-85CE-41B1-AC44-B239FE3F1EA3}">
      <formula1>"KS,PM,N/A"</formula1>
    </dataValidation>
    <dataValidation type="list" allowBlank="1" showInputMessage="1" showErrorMessage="1" sqref="S5" xr:uid="{52990428-F1E9-4048-8CC8-D39831FC81AB}">
      <formula1>"Yes,No"</formula1>
    </dataValidation>
  </dataValidations>
  <pageMargins left="0.7" right="0.7" top="0.75" bottom="0.75" header="0.3" footer="0.3"/>
  <pageSetup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B41E1-DF23-4789-B7FE-BE2DBF12D355}">
  <sheetPr filterMode="1"/>
  <dimension ref="A1:AV64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N19" sqref="AN19:AN64"/>
    </sheetView>
  </sheetViews>
  <sheetFormatPr defaultRowHeight="15" x14ac:dyDescent="0.25"/>
  <cols>
    <col min="3" max="3" width="8.5703125" bestFit="1" customWidth="1"/>
    <col min="6" max="6" width="14.7109375" customWidth="1"/>
    <col min="7" max="12" width="0" hidden="1" customWidth="1"/>
    <col min="20" max="20" width="9.140625" style="16"/>
    <col min="22" max="33" width="0" hidden="1" customWidth="1"/>
    <col min="35" max="38" width="9.140625" customWidth="1"/>
    <col min="39" max="39" width="9.140625" style="16" customWidth="1"/>
    <col min="40" max="40" width="9.140625" customWidth="1"/>
  </cols>
  <sheetData>
    <row r="1" spans="1:48" x14ac:dyDescent="0.25">
      <c r="Q1" t="s">
        <v>13</v>
      </c>
      <c r="R1">
        <v>62.5</v>
      </c>
      <c r="S1" t="s">
        <v>14</v>
      </c>
      <c r="T1" s="20">
        <v>15</v>
      </c>
      <c r="AJ1" t="s">
        <v>13</v>
      </c>
      <c r="AK1">
        <v>137.5</v>
      </c>
      <c r="AL1" t="s">
        <v>14</v>
      </c>
      <c r="AM1" s="20">
        <v>30</v>
      </c>
      <c r="AP1">
        <v>3.8</v>
      </c>
    </row>
    <row r="2" spans="1:48" x14ac:dyDescent="0.25">
      <c r="A2" s="1" t="s">
        <v>7</v>
      </c>
      <c r="B2" s="1"/>
      <c r="C2" s="1"/>
      <c r="D2" s="1"/>
      <c r="E2" s="1"/>
      <c r="F2" s="1"/>
      <c r="G2" t="s">
        <v>177</v>
      </c>
      <c r="H2" s="2"/>
      <c r="I2" t="s">
        <v>178</v>
      </c>
      <c r="J2" t="s">
        <v>178</v>
      </c>
      <c r="N2" s="3"/>
      <c r="O2" s="3"/>
      <c r="P2" s="3" t="s">
        <v>16</v>
      </c>
      <c r="Q2" s="3"/>
      <c r="R2" s="3"/>
      <c r="S2" s="3"/>
      <c r="T2" s="17"/>
      <c r="U2" s="3"/>
      <c r="V2" s="3"/>
      <c r="W2" s="3" t="s">
        <v>179</v>
      </c>
      <c r="X2" s="3" t="s">
        <v>180</v>
      </c>
      <c r="Y2" s="3" t="s">
        <v>181</v>
      </c>
      <c r="Z2" s="3" t="s">
        <v>182</v>
      </c>
      <c r="AA2" s="3" t="s">
        <v>183</v>
      </c>
      <c r="AB2" s="3" t="s">
        <v>184</v>
      </c>
      <c r="AC2" s="3" t="s">
        <v>185</v>
      </c>
      <c r="AD2" s="3" t="s">
        <v>186</v>
      </c>
      <c r="AE2" s="3" t="s">
        <v>187</v>
      </c>
      <c r="AF2" s="3" t="s">
        <v>188</v>
      </c>
      <c r="AG2" t="s">
        <v>189</v>
      </c>
      <c r="AI2" s="3" t="s">
        <v>190</v>
      </c>
      <c r="AJ2" s="3"/>
      <c r="AK2" s="3"/>
      <c r="AL2" s="3"/>
      <c r="AM2" s="17"/>
      <c r="AN2" s="3"/>
      <c r="AP2">
        <f>AP1*5</f>
        <v>19</v>
      </c>
      <c r="AQ2">
        <v>14.75</v>
      </c>
      <c r="AR2">
        <f>R1*0.045</f>
        <v>2.8125</v>
      </c>
      <c r="AS2">
        <v>1</v>
      </c>
    </row>
    <row r="3" spans="1:48" ht="38.25" x14ac:dyDescent="0.25">
      <c r="A3" s="4" t="s">
        <v>17</v>
      </c>
      <c r="B3" s="4" t="s">
        <v>18</v>
      </c>
      <c r="C3" s="4" t="s">
        <v>19</v>
      </c>
      <c r="D3" s="4" t="s">
        <v>20</v>
      </c>
      <c r="E3" s="4" t="s">
        <v>21</v>
      </c>
      <c r="F3" s="4" t="s">
        <v>22</v>
      </c>
      <c r="G3" s="4" t="s">
        <v>191</v>
      </c>
      <c r="H3" s="4" t="s">
        <v>192</v>
      </c>
      <c r="I3" s="4" t="s">
        <v>191</v>
      </c>
      <c r="J3" s="4" t="s">
        <v>193</v>
      </c>
      <c r="K3" s="4"/>
      <c r="L3" s="4"/>
      <c r="M3" s="4" t="s">
        <v>40</v>
      </c>
      <c r="N3" s="5" t="s">
        <v>28</v>
      </c>
      <c r="O3" s="4" t="s">
        <v>3</v>
      </c>
      <c r="P3" s="4" t="s">
        <v>29</v>
      </c>
      <c r="Q3" s="4" t="s">
        <v>30</v>
      </c>
      <c r="R3" s="4" t="s">
        <v>41</v>
      </c>
      <c r="S3" s="4" t="s">
        <v>32</v>
      </c>
      <c r="T3" s="18" t="s">
        <v>42</v>
      </c>
      <c r="U3" s="4" t="s">
        <v>43</v>
      </c>
      <c r="V3" s="6" t="s">
        <v>194</v>
      </c>
      <c r="W3" s="6" t="s">
        <v>195</v>
      </c>
      <c r="X3" s="6" t="s">
        <v>196</v>
      </c>
      <c r="Y3" s="6" t="s">
        <v>197</v>
      </c>
      <c r="Z3" s="6" t="s">
        <v>198</v>
      </c>
      <c r="AA3" s="6" t="s">
        <v>85</v>
      </c>
      <c r="AB3" s="6" t="s">
        <v>88</v>
      </c>
      <c r="AC3" s="6" t="s">
        <v>73</v>
      </c>
      <c r="AD3" s="6" t="s">
        <v>47</v>
      </c>
      <c r="AE3" s="6" t="s">
        <v>117</v>
      </c>
      <c r="AF3" s="6" t="s">
        <v>58</v>
      </c>
      <c r="AG3" t="s">
        <v>148</v>
      </c>
      <c r="AI3" s="4" t="s">
        <v>29</v>
      </c>
      <c r="AJ3" s="4" t="s">
        <v>30</v>
      </c>
      <c r="AK3" s="4" t="s">
        <v>41</v>
      </c>
      <c r="AL3" s="4" t="s">
        <v>32</v>
      </c>
      <c r="AM3" s="18" t="s">
        <v>42</v>
      </c>
      <c r="AN3" s="4" t="s">
        <v>43</v>
      </c>
      <c r="AS3">
        <f>AP2+AQ2+AR2+AS2</f>
        <v>37.5625</v>
      </c>
      <c r="AU3">
        <f>R1-AS3</f>
        <v>24.9375</v>
      </c>
      <c r="AV3">
        <f>AU3/5</f>
        <v>4.9874999999999998</v>
      </c>
    </row>
    <row r="4" spans="1:48" hidden="1" x14ac:dyDescent="0.25">
      <c r="A4" s="3" t="s">
        <v>199</v>
      </c>
      <c r="B4" s="3" t="s">
        <v>200</v>
      </c>
      <c r="C4" s="3" t="s">
        <v>52</v>
      </c>
      <c r="D4" s="3" t="s">
        <v>46</v>
      </c>
      <c r="E4" s="3" t="s">
        <v>53</v>
      </c>
      <c r="F4" s="3"/>
      <c r="G4" s="14">
        <v>0</v>
      </c>
      <c r="H4" s="7"/>
      <c r="I4" s="14" t="e">
        <f>_xlfn.XLOOKUP(B4,#REF!,#REF!,0)</f>
        <v>#REF!</v>
      </c>
      <c r="J4" s="15" t="e">
        <f>_xlfn.XLOOKUP(B4,#REF!,#REF!,0)</f>
        <v>#REF!</v>
      </c>
      <c r="K4" s="15"/>
      <c r="L4" s="15"/>
      <c r="M4" s="15"/>
      <c r="N4" s="3" t="s">
        <v>73</v>
      </c>
      <c r="O4" s="3"/>
      <c r="P4" s="9" t="e">
        <f>_xlfn.XLOOKUP(A4,'By Country - Game'!A:A,'By Country - Game'!#REF!,0)</f>
        <v>#REF!</v>
      </c>
      <c r="Q4" s="9">
        <v>0</v>
      </c>
      <c r="R4" s="9">
        <f t="shared" ref="R4:R15" si="0">$R$1*Q4</f>
        <v>0</v>
      </c>
      <c r="S4" s="9" t="e">
        <f t="shared" ref="S4:S18" si="1">P4+R4</f>
        <v>#REF!</v>
      </c>
      <c r="T4" s="19" t="e">
        <f t="shared" ref="T4:T18" si="2">ROUND(S4-$T$1,0)</f>
        <v>#REF!</v>
      </c>
      <c r="U4" s="13"/>
      <c r="V4" s="9">
        <v>46.25</v>
      </c>
      <c r="W4" s="9" t="s">
        <v>52</v>
      </c>
      <c r="X4" s="9" t="s">
        <v>52</v>
      </c>
      <c r="Y4" s="9" t="s">
        <v>52</v>
      </c>
      <c r="Z4" s="9">
        <v>73.989999999999995</v>
      </c>
      <c r="AA4" s="9" t="s">
        <v>52</v>
      </c>
      <c r="AB4" s="9" t="s">
        <v>52</v>
      </c>
      <c r="AC4" s="9">
        <v>46.25</v>
      </c>
      <c r="AD4" s="9">
        <v>88.72</v>
      </c>
      <c r="AE4" s="9">
        <v>273.35000000000002</v>
      </c>
      <c r="AF4" s="9" t="s">
        <v>52</v>
      </c>
      <c r="AG4" t="s">
        <v>52</v>
      </c>
      <c r="AI4" s="9"/>
      <c r="AJ4" s="9">
        <v>0</v>
      </c>
      <c r="AK4" s="9">
        <f t="shared" ref="AK4:AK15" si="3">$R$1*AJ4</f>
        <v>0</v>
      </c>
      <c r="AL4" s="9">
        <f t="shared" ref="AL4:AL18" si="4">AI4+AK4</f>
        <v>0</v>
      </c>
      <c r="AM4" s="19">
        <f t="shared" ref="AM4:AM18" si="5">ROUND(AL4-$T$1,0)</f>
        <v>-15</v>
      </c>
      <c r="AN4" s="13"/>
    </row>
    <row r="5" spans="1:48" hidden="1" x14ac:dyDescent="0.25">
      <c r="A5" s="3" t="s">
        <v>201</v>
      </c>
      <c r="B5" s="3" t="s">
        <v>202</v>
      </c>
      <c r="C5" s="3" t="s">
        <v>52</v>
      </c>
      <c r="D5" s="3" t="s">
        <v>46</v>
      </c>
      <c r="E5" s="3" t="s">
        <v>53</v>
      </c>
      <c r="F5" s="3"/>
      <c r="G5" s="14">
        <v>0</v>
      </c>
      <c r="H5" s="3"/>
      <c r="I5" s="14" t="e">
        <f>_xlfn.XLOOKUP(B5,#REF!,#REF!,0)</f>
        <v>#REF!</v>
      </c>
      <c r="J5" s="15" t="e">
        <f>_xlfn.XLOOKUP(B5,#REF!,#REF!,0)</f>
        <v>#REF!</v>
      </c>
      <c r="K5" s="15"/>
      <c r="L5" s="15"/>
      <c r="M5" s="15"/>
      <c r="N5" s="3" t="s">
        <v>73</v>
      </c>
      <c r="O5" s="3"/>
      <c r="P5" s="9" t="e">
        <f>_xlfn.XLOOKUP(A5,'By Country - Game'!A:A,'By Country - Game'!#REF!,0)</f>
        <v>#REF!</v>
      </c>
      <c r="Q5" s="9">
        <v>0</v>
      </c>
      <c r="R5" s="9">
        <f t="shared" si="0"/>
        <v>0</v>
      </c>
      <c r="S5" s="9" t="e">
        <f t="shared" si="1"/>
        <v>#REF!</v>
      </c>
      <c r="T5" s="19" t="e">
        <f t="shared" si="2"/>
        <v>#REF!</v>
      </c>
      <c r="U5" s="13"/>
      <c r="V5" s="3">
        <v>103.52</v>
      </c>
      <c r="W5" s="3"/>
      <c r="X5" s="9"/>
      <c r="Y5" s="3"/>
      <c r="Z5" s="3">
        <v>103.52</v>
      </c>
      <c r="AA5" s="3"/>
      <c r="AB5" s="3"/>
      <c r="AC5" s="3">
        <v>46.25</v>
      </c>
      <c r="AD5" s="3">
        <v>73.569999999999993</v>
      </c>
      <c r="AE5" s="3"/>
      <c r="AF5" s="3"/>
      <c r="AI5" s="9"/>
      <c r="AJ5" s="9">
        <v>0</v>
      </c>
      <c r="AK5" s="9">
        <f t="shared" si="3"/>
        <v>0</v>
      </c>
      <c r="AL5" s="9">
        <f t="shared" si="4"/>
        <v>0</v>
      </c>
      <c r="AM5" s="19">
        <f t="shared" si="5"/>
        <v>-15</v>
      </c>
      <c r="AN5" s="13"/>
    </row>
    <row r="6" spans="1:48" hidden="1" x14ac:dyDescent="0.25">
      <c r="A6" s="3" t="s">
        <v>203</v>
      </c>
      <c r="B6" s="3" t="s">
        <v>204</v>
      </c>
      <c r="C6" s="3" t="s">
        <v>52</v>
      </c>
      <c r="D6" s="3" t="s">
        <v>46</v>
      </c>
      <c r="E6" s="3" t="s">
        <v>53</v>
      </c>
      <c r="F6" s="3"/>
      <c r="G6" s="14">
        <v>0</v>
      </c>
      <c r="H6" s="3"/>
      <c r="I6" s="14" t="e">
        <f>_xlfn.XLOOKUP(B6,#REF!,#REF!,0)</f>
        <v>#REF!</v>
      </c>
      <c r="J6" s="15" t="e">
        <f>_xlfn.XLOOKUP(B6,#REF!,#REF!,0)</f>
        <v>#REF!</v>
      </c>
      <c r="K6" s="15"/>
      <c r="L6" s="15"/>
      <c r="M6" s="15"/>
      <c r="N6" s="3" t="s">
        <v>73</v>
      </c>
      <c r="O6" s="3"/>
      <c r="P6" s="9" t="e">
        <f>_xlfn.XLOOKUP(A6,'By Country - Game'!A:A,'By Country - Game'!#REF!,0)</f>
        <v>#REF!</v>
      </c>
      <c r="Q6" s="9">
        <v>0</v>
      </c>
      <c r="R6" s="9">
        <f t="shared" si="0"/>
        <v>0</v>
      </c>
      <c r="S6" s="9" t="e">
        <f t="shared" si="1"/>
        <v>#REF!</v>
      </c>
      <c r="T6" s="19" t="e">
        <f t="shared" si="2"/>
        <v>#REF!</v>
      </c>
      <c r="U6" s="13"/>
      <c r="V6" s="3">
        <v>103.52</v>
      </c>
      <c r="W6" s="3"/>
      <c r="X6" s="9"/>
      <c r="Y6" s="3"/>
      <c r="Z6" s="3">
        <v>103.52</v>
      </c>
      <c r="AA6" s="3"/>
      <c r="AB6" s="3"/>
      <c r="AC6" s="3">
        <v>46.25</v>
      </c>
      <c r="AD6" s="3">
        <v>47.59</v>
      </c>
      <c r="AE6" s="3"/>
      <c r="AF6" s="3"/>
      <c r="AI6" s="9"/>
      <c r="AJ6" s="9">
        <v>0</v>
      </c>
      <c r="AK6" s="9">
        <f t="shared" si="3"/>
        <v>0</v>
      </c>
      <c r="AL6" s="9">
        <f t="shared" si="4"/>
        <v>0</v>
      </c>
      <c r="AM6" s="19">
        <f t="shared" si="5"/>
        <v>-15</v>
      </c>
      <c r="AN6" s="13"/>
    </row>
    <row r="7" spans="1:48" hidden="1" x14ac:dyDescent="0.25">
      <c r="A7" s="3" t="s">
        <v>59</v>
      </c>
      <c r="B7" s="3" t="s">
        <v>60</v>
      </c>
      <c r="C7" s="3" t="s">
        <v>52</v>
      </c>
      <c r="D7" s="3" t="s">
        <v>53</v>
      </c>
      <c r="E7" s="3"/>
      <c r="F7" s="3"/>
      <c r="G7" s="14">
        <v>3.0581039755351682E-3</v>
      </c>
      <c r="H7" s="7"/>
      <c r="I7" s="14" t="e">
        <f>_xlfn.XLOOKUP(B7,#REF!,#REF!,0)</f>
        <v>#REF!</v>
      </c>
      <c r="J7" s="15" t="e">
        <f>_xlfn.XLOOKUP(B7,#REF!,#REF!,0)</f>
        <v>#REF!</v>
      </c>
      <c r="K7" s="15"/>
      <c r="L7" s="15"/>
      <c r="M7" s="15"/>
      <c r="N7" s="3" t="s">
        <v>205</v>
      </c>
      <c r="O7" s="3"/>
      <c r="P7" s="9" t="e">
        <f>_xlfn.XLOOKUP(A7,'By Country - Game'!A:A,'By Country - Game'!#REF!,0)</f>
        <v>#REF!</v>
      </c>
      <c r="Q7" s="9">
        <v>0</v>
      </c>
      <c r="R7" s="9">
        <f t="shared" si="0"/>
        <v>0</v>
      </c>
      <c r="S7" s="9" t="e">
        <f t="shared" si="1"/>
        <v>#REF!</v>
      </c>
      <c r="T7" s="19" t="e">
        <f t="shared" si="2"/>
        <v>#REF!</v>
      </c>
      <c r="U7" s="13"/>
      <c r="V7" s="9">
        <v>43.14</v>
      </c>
      <c r="W7" s="9" t="s">
        <v>52</v>
      </c>
      <c r="X7" s="9" t="s">
        <v>52</v>
      </c>
      <c r="Y7" s="9" t="s">
        <v>52</v>
      </c>
      <c r="Z7" s="9">
        <v>43.14</v>
      </c>
      <c r="AA7" s="9" t="s">
        <v>52</v>
      </c>
      <c r="AB7" s="9" t="s">
        <v>52</v>
      </c>
      <c r="AC7" s="9">
        <v>46.25</v>
      </c>
      <c r="AD7" s="9">
        <v>194.64</v>
      </c>
      <c r="AE7" s="9">
        <v>150.88999999999999</v>
      </c>
      <c r="AF7" s="9" t="s">
        <v>52</v>
      </c>
      <c r="AG7">
        <v>59.97</v>
      </c>
      <c r="AI7" s="9"/>
      <c r="AJ7" s="9">
        <v>0</v>
      </c>
      <c r="AK7" s="9">
        <f t="shared" si="3"/>
        <v>0</v>
      </c>
      <c r="AL7" s="9">
        <f t="shared" si="4"/>
        <v>0</v>
      </c>
      <c r="AM7" s="19">
        <f t="shared" si="5"/>
        <v>-15</v>
      </c>
      <c r="AN7" s="13"/>
    </row>
    <row r="8" spans="1:48" hidden="1" x14ac:dyDescent="0.25">
      <c r="A8" s="3" t="s">
        <v>206</v>
      </c>
      <c r="B8" s="3" t="s">
        <v>207</v>
      </c>
      <c r="C8" s="3" t="s">
        <v>52</v>
      </c>
      <c r="D8" s="3" t="s">
        <v>53</v>
      </c>
      <c r="E8" s="3"/>
      <c r="F8" s="3"/>
      <c r="G8" s="14">
        <v>2.5484199796126403E-3</v>
      </c>
      <c r="H8" s="7"/>
      <c r="I8" s="14" t="e">
        <f>_xlfn.XLOOKUP(B8,#REF!,#REF!,0)</f>
        <v>#REF!</v>
      </c>
      <c r="J8" s="15" t="e">
        <f>_xlfn.XLOOKUP(B8,#REF!,#REF!,0)</f>
        <v>#REF!</v>
      </c>
      <c r="K8" s="15"/>
      <c r="L8" s="15"/>
      <c r="M8" s="15"/>
      <c r="N8" s="3" t="s">
        <v>205</v>
      </c>
      <c r="O8" s="3"/>
      <c r="P8" s="9" t="e">
        <f>_xlfn.XLOOKUP(A8,'By Country - Game'!A:A,'By Country - Game'!#REF!,0)</f>
        <v>#REF!</v>
      </c>
      <c r="Q8" s="9">
        <v>0</v>
      </c>
      <c r="R8" s="9">
        <f t="shared" si="0"/>
        <v>0</v>
      </c>
      <c r="S8" s="9" t="e">
        <f t="shared" si="1"/>
        <v>#REF!</v>
      </c>
      <c r="T8" s="19" t="e">
        <f t="shared" si="2"/>
        <v>#REF!</v>
      </c>
      <c r="U8" s="13"/>
      <c r="V8" s="9">
        <v>46.25</v>
      </c>
      <c r="W8" s="9" t="s">
        <v>52</v>
      </c>
      <c r="X8" s="9" t="s">
        <v>52</v>
      </c>
      <c r="Y8" s="9" t="s">
        <v>52</v>
      </c>
      <c r="Z8" s="9">
        <v>103.52</v>
      </c>
      <c r="AA8" s="9" t="s">
        <v>52</v>
      </c>
      <c r="AB8" s="9" t="s">
        <v>52</v>
      </c>
      <c r="AC8" s="9">
        <v>46.25</v>
      </c>
      <c r="AD8" s="9">
        <v>76.66</v>
      </c>
      <c r="AE8" s="9">
        <v>150.88999999999999</v>
      </c>
      <c r="AF8" s="9" t="s">
        <v>52</v>
      </c>
      <c r="AG8" t="s">
        <v>52</v>
      </c>
      <c r="AI8" s="9"/>
      <c r="AJ8" s="9">
        <v>0</v>
      </c>
      <c r="AK8" s="9">
        <f t="shared" si="3"/>
        <v>0</v>
      </c>
      <c r="AL8" s="9">
        <f t="shared" si="4"/>
        <v>0</v>
      </c>
      <c r="AM8" s="19">
        <f t="shared" si="5"/>
        <v>-15</v>
      </c>
      <c r="AN8" s="13"/>
    </row>
    <row r="9" spans="1:48" hidden="1" x14ac:dyDescent="0.25">
      <c r="A9" s="3" t="s">
        <v>61</v>
      </c>
      <c r="B9" s="3" t="s">
        <v>62</v>
      </c>
      <c r="C9" s="3" t="s">
        <v>52</v>
      </c>
      <c r="D9" s="3" t="s">
        <v>53</v>
      </c>
      <c r="E9" s="3"/>
      <c r="F9" s="3"/>
      <c r="G9" s="14">
        <v>2.5484199796126403E-3</v>
      </c>
      <c r="H9" s="7"/>
      <c r="I9" s="14" t="e">
        <f>_xlfn.XLOOKUP(B9,#REF!,#REF!,0)</f>
        <v>#REF!</v>
      </c>
      <c r="J9" s="15" t="e">
        <f>_xlfn.XLOOKUP(B9,#REF!,#REF!,0)</f>
        <v>#REF!</v>
      </c>
      <c r="K9" s="15"/>
      <c r="L9" s="15"/>
      <c r="M9" s="15"/>
      <c r="N9" s="3" t="s">
        <v>205</v>
      </c>
      <c r="O9" s="3"/>
      <c r="P9" s="9" t="e">
        <f>_xlfn.XLOOKUP(A9,'By Country - Game'!A:A,'By Country - Game'!#REF!,0)</f>
        <v>#REF!</v>
      </c>
      <c r="Q9" s="9">
        <v>0</v>
      </c>
      <c r="R9" s="9">
        <f t="shared" si="0"/>
        <v>0</v>
      </c>
      <c r="S9" s="9" t="e">
        <f t="shared" si="1"/>
        <v>#REF!</v>
      </c>
      <c r="T9" s="19" t="e">
        <f t="shared" si="2"/>
        <v>#REF!</v>
      </c>
      <c r="U9" s="13"/>
      <c r="V9" s="9">
        <v>46.25</v>
      </c>
      <c r="W9" s="9" t="s">
        <v>52</v>
      </c>
      <c r="X9" s="9" t="s">
        <v>52</v>
      </c>
      <c r="Y9" s="9" t="s">
        <v>52</v>
      </c>
      <c r="Z9" s="9">
        <v>209.84</v>
      </c>
      <c r="AA9" s="9" t="s">
        <v>52</v>
      </c>
      <c r="AB9" s="9" t="s">
        <v>52</v>
      </c>
      <c r="AC9" s="9">
        <v>46.25</v>
      </c>
      <c r="AD9" s="9" t="s">
        <v>52</v>
      </c>
      <c r="AE9" s="9">
        <v>150.88999999999999</v>
      </c>
      <c r="AF9" s="9" t="s">
        <v>52</v>
      </c>
      <c r="AG9" t="s">
        <v>52</v>
      </c>
      <c r="AI9" s="9"/>
      <c r="AJ9" s="9">
        <v>0</v>
      </c>
      <c r="AK9" s="9">
        <f t="shared" si="3"/>
        <v>0</v>
      </c>
      <c r="AL9" s="9">
        <f t="shared" si="4"/>
        <v>0</v>
      </c>
      <c r="AM9" s="19">
        <f t="shared" si="5"/>
        <v>-15</v>
      </c>
      <c r="AN9" s="13"/>
    </row>
    <row r="10" spans="1:48" hidden="1" x14ac:dyDescent="0.25">
      <c r="A10" s="3" t="s">
        <v>56</v>
      </c>
      <c r="B10" s="3" t="s">
        <v>57</v>
      </c>
      <c r="C10" s="3" t="s">
        <v>52</v>
      </c>
      <c r="D10" s="3" t="s">
        <v>53</v>
      </c>
      <c r="E10" s="3"/>
      <c r="F10" s="3"/>
      <c r="G10" s="14">
        <v>2.0387359836901123E-3</v>
      </c>
      <c r="H10" s="7"/>
      <c r="I10" s="14" t="e">
        <f>_xlfn.XLOOKUP(B10,#REF!,#REF!,0)</f>
        <v>#REF!</v>
      </c>
      <c r="J10" s="15" t="e">
        <f>_xlfn.XLOOKUP(B10,#REF!,#REF!,0)</f>
        <v>#REF!</v>
      </c>
      <c r="K10" s="15"/>
      <c r="L10" s="15"/>
      <c r="M10" s="15"/>
      <c r="N10" s="3" t="s">
        <v>148</v>
      </c>
      <c r="O10" s="3"/>
      <c r="P10" s="9" t="e">
        <f>_xlfn.XLOOKUP(A10,'By Country - Game'!A:A,'By Country - Game'!#REF!,0)</f>
        <v>#REF!</v>
      </c>
      <c r="Q10" s="9">
        <v>0</v>
      </c>
      <c r="R10" s="9">
        <f t="shared" si="0"/>
        <v>0</v>
      </c>
      <c r="S10" s="9" t="e">
        <f t="shared" si="1"/>
        <v>#REF!</v>
      </c>
      <c r="T10" s="19" t="e">
        <f t="shared" si="2"/>
        <v>#REF!</v>
      </c>
      <c r="U10" s="13"/>
      <c r="V10" s="9">
        <v>46.25</v>
      </c>
      <c r="W10" s="9" t="s">
        <v>52</v>
      </c>
      <c r="X10" s="9" t="s">
        <v>52</v>
      </c>
      <c r="Y10" s="9" t="s">
        <v>52</v>
      </c>
      <c r="Z10" s="9">
        <v>73.989999999999995</v>
      </c>
      <c r="AA10" s="9" t="s">
        <v>52</v>
      </c>
      <c r="AB10" s="9" t="s">
        <v>52</v>
      </c>
      <c r="AC10" s="9">
        <v>46.25</v>
      </c>
      <c r="AD10" s="9">
        <v>99.92</v>
      </c>
      <c r="AE10" s="9">
        <v>113.8</v>
      </c>
      <c r="AF10" s="9">
        <v>113.8</v>
      </c>
      <c r="AG10">
        <v>59.97</v>
      </c>
      <c r="AI10" s="9"/>
      <c r="AJ10" s="9">
        <v>0</v>
      </c>
      <c r="AK10" s="9">
        <f t="shared" si="3"/>
        <v>0</v>
      </c>
      <c r="AL10" s="9">
        <f t="shared" si="4"/>
        <v>0</v>
      </c>
      <c r="AM10" s="19">
        <f t="shared" si="5"/>
        <v>-15</v>
      </c>
      <c r="AN10" s="13"/>
    </row>
    <row r="11" spans="1:48" hidden="1" x14ac:dyDescent="0.25">
      <c r="A11" s="3" t="s">
        <v>68</v>
      </c>
      <c r="B11" s="3" t="s">
        <v>69</v>
      </c>
      <c r="C11" s="3" t="s">
        <v>52</v>
      </c>
      <c r="D11" s="3" t="s">
        <v>53</v>
      </c>
      <c r="E11" s="3"/>
      <c r="F11" s="3"/>
      <c r="G11" s="14">
        <v>1.5290519877675841E-3</v>
      </c>
      <c r="H11" s="7"/>
      <c r="I11" s="14" t="e">
        <f>_xlfn.XLOOKUP(B11,#REF!,#REF!,0)</f>
        <v>#REF!</v>
      </c>
      <c r="J11" s="15" t="e">
        <f>_xlfn.XLOOKUP(B11,#REF!,#REF!,0)</f>
        <v>#REF!</v>
      </c>
      <c r="K11" s="15"/>
      <c r="L11" s="15"/>
      <c r="M11" s="15"/>
      <c r="N11" s="3" t="s">
        <v>205</v>
      </c>
      <c r="O11" s="3"/>
      <c r="P11" s="9" t="e">
        <f>_xlfn.XLOOKUP(A11,'By Country - Game'!A:A,'By Country - Game'!#REF!,0)</f>
        <v>#REF!</v>
      </c>
      <c r="Q11" s="9">
        <v>0</v>
      </c>
      <c r="R11" s="9">
        <f t="shared" si="0"/>
        <v>0</v>
      </c>
      <c r="S11" s="9" t="e">
        <f t="shared" si="1"/>
        <v>#REF!</v>
      </c>
      <c r="T11" s="19" t="e">
        <f t="shared" si="2"/>
        <v>#REF!</v>
      </c>
      <c r="U11" s="13"/>
      <c r="V11" s="9">
        <v>46.25</v>
      </c>
      <c r="W11" s="9" t="s">
        <v>52</v>
      </c>
      <c r="X11" s="9" t="s">
        <v>52</v>
      </c>
      <c r="Y11" s="9" t="s">
        <v>52</v>
      </c>
      <c r="Z11" s="9">
        <v>73.989999999999995</v>
      </c>
      <c r="AA11" s="9" t="s">
        <v>52</v>
      </c>
      <c r="AB11" s="9" t="s">
        <v>52</v>
      </c>
      <c r="AC11" s="9">
        <v>46.25</v>
      </c>
      <c r="AD11" s="9">
        <v>68.73</v>
      </c>
      <c r="AE11" s="9">
        <v>113.8</v>
      </c>
      <c r="AF11" s="9">
        <v>113.8</v>
      </c>
      <c r="AG11">
        <v>47.24</v>
      </c>
      <c r="AI11" s="9"/>
      <c r="AJ11" s="9">
        <v>0</v>
      </c>
      <c r="AK11" s="9">
        <f t="shared" si="3"/>
        <v>0</v>
      </c>
      <c r="AL11" s="9">
        <f t="shared" si="4"/>
        <v>0</v>
      </c>
      <c r="AM11" s="19">
        <f t="shared" si="5"/>
        <v>-15</v>
      </c>
      <c r="AN11" s="13"/>
    </row>
    <row r="12" spans="1:48" hidden="1" x14ac:dyDescent="0.25">
      <c r="A12" s="3" t="s">
        <v>50</v>
      </c>
      <c r="B12" s="3" t="s">
        <v>51</v>
      </c>
      <c r="C12" s="3" t="s">
        <v>52</v>
      </c>
      <c r="D12" s="3" t="s">
        <v>53</v>
      </c>
      <c r="E12" s="3"/>
      <c r="F12" s="3"/>
      <c r="G12" s="14">
        <v>1.5290519877675841E-3</v>
      </c>
      <c r="H12" s="7"/>
      <c r="I12" s="14" t="e">
        <f>_xlfn.XLOOKUP(B12,#REF!,#REF!,0)</f>
        <v>#REF!</v>
      </c>
      <c r="J12" s="15" t="e">
        <f>_xlfn.XLOOKUP(B12,#REF!,#REF!,0)</f>
        <v>#REF!</v>
      </c>
      <c r="K12" s="15"/>
      <c r="L12" s="15"/>
      <c r="M12" s="15"/>
      <c r="N12" s="3" t="s">
        <v>205</v>
      </c>
      <c r="O12" s="3"/>
      <c r="P12" s="9" t="e">
        <f>_xlfn.XLOOKUP(A12,'By Country - Game'!A:A,'By Country - Game'!#REF!,0)</f>
        <v>#REF!</v>
      </c>
      <c r="Q12" s="9">
        <v>0</v>
      </c>
      <c r="R12" s="9">
        <f t="shared" si="0"/>
        <v>0</v>
      </c>
      <c r="S12" s="9" t="e">
        <f t="shared" si="1"/>
        <v>#REF!</v>
      </c>
      <c r="T12" s="19" t="e">
        <f t="shared" si="2"/>
        <v>#REF!</v>
      </c>
      <c r="U12" s="13"/>
      <c r="V12" s="9">
        <v>46.25</v>
      </c>
      <c r="W12" s="9" t="s">
        <v>52</v>
      </c>
      <c r="X12" s="9" t="s">
        <v>52</v>
      </c>
      <c r="Y12" s="9" t="s">
        <v>52</v>
      </c>
      <c r="Z12" s="9">
        <v>91.3</v>
      </c>
      <c r="AA12" s="9" t="s">
        <v>52</v>
      </c>
      <c r="AB12" s="9" t="s">
        <v>52</v>
      </c>
      <c r="AC12" s="9">
        <v>46.25</v>
      </c>
      <c r="AD12" s="9">
        <v>262.47000000000003</v>
      </c>
      <c r="AE12" s="9">
        <v>273.35000000000002</v>
      </c>
      <c r="AF12" s="9" t="s">
        <v>52</v>
      </c>
      <c r="AG12" t="s">
        <v>52</v>
      </c>
      <c r="AI12" s="9"/>
      <c r="AJ12" s="9">
        <v>0</v>
      </c>
      <c r="AK12" s="9">
        <f t="shared" si="3"/>
        <v>0</v>
      </c>
      <c r="AL12" s="9">
        <f t="shared" si="4"/>
        <v>0</v>
      </c>
      <c r="AM12" s="19">
        <f t="shared" si="5"/>
        <v>-15</v>
      </c>
      <c r="AN12" s="13"/>
    </row>
    <row r="13" spans="1:48" hidden="1" x14ac:dyDescent="0.25">
      <c r="A13" s="3" t="s">
        <v>54</v>
      </c>
      <c r="B13" s="3" t="s">
        <v>55</v>
      </c>
      <c r="C13" s="3" t="s">
        <v>52</v>
      </c>
      <c r="D13" s="3" t="s">
        <v>53</v>
      </c>
      <c r="E13" s="3"/>
      <c r="F13" s="3"/>
      <c r="G13" s="14">
        <v>1.5290519877675841E-3</v>
      </c>
      <c r="H13" s="7"/>
      <c r="I13" s="14" t="e">
        <f>_xlfn.XLOOKUP(B13,#REF!,#REF!,0)</f>
        <v>#REF!</v>
      </c>
      <c r="J13" s="15" t="e">
        <f>_xlfn.XLOOKUP(B13,#REF!,#REF!,0)</f>
        <v>#REF!</v>
      </c>
      <c r="K13" s="15"/>
      <c r="L13" s="15"/>
      <c r="M13" s="15"/>
      <c r="N13" s="3" t="s">
        <v>205</v>
      </c>
      <c r="O13" s="3"/>
      <c r="P13" s="9" t="e">
        <f>_xlfn.XLOOKUP(A13,'By Country - Game'!A:A,'By Country - Game'!#REF!,0)</f>
        <v>#REF!</v>
      </c>
      <c r="Q13" s="9">
        <v>0</v>
      </c>
      <c r="R13" s="9">
        <f t="shared" si="0"/>
        <v>0</v>
      </c>
      <c r="S13" s="9" t="e">
        <f t="shared" si="1"/>
        <v>#REF!</v>
      </c>
      <c r="T13" s="19" t="e">
        <f t="shared" si="2"/>
        <v>#REF!</v>
      </c>
      <c r="U13" s="13"/>
      <c r="V13" s="9">
        <v>46.25</v>
      </c>
      <c r="W13" s="9" t="s">
        <v>52</v>
      </c>
      <c r="X13" s="9" t="s">
        <v>52</v>
      </c>
      <c r="Y13" s="9" t="s">
        <v>52</v>
      </c>
      <c r="Z13" s="9">
        <v>66.45</v>
      </c>
      <c r="AA13" s="9" t="s">
        <v>52</v>
      </c>
      <c r="AB13" s="9" t="s">
        <v>52</v>
      </c>
      <c r="AC13" s="9">
        <v>46.25</v>
      </c>
      <c r="AD13" s="9">
        <v>47.59</v>
      </c>
      <c r="AE13" s="9">
        <v>273.35000000000002</v>
      </c>
      <c r="AF13" s="9" t="s">
        <v>52</v>
      </c>
      <c r="AG13" t="s">
        <v>52</v>
      </c>
      <c r="AI13" s="9"/>
      <c r="AJ13" s="9">
        <v>0</v>
      </c>
      <c r="AK13" s="9">
        <f t="shared" si="3"/>
        <v>0</v>
      </c>
      <c r="AL13" s="9">
        <f t="shared" si="4"/>
        <v>0</v>
      </c>
      <c r="AM13" s="19">
        <f t="shared" si="5"/>
        <v>-15</v>
      </c>
      <c r="AN13" s="13"/>
    </row>
    <row r="14" spans="1:48" hidden="1" x14ac:dyDescent="0.25">
      <c r="A14" s="3" t="s">
        <v>208</v>
      </c>
      <c r="B14" s="3" t="s">
        <v>209</v>
      </c>
      <c r="C14" s="3" t="s">
        <v>52</v>
      </c>
      <c r="D14" s="3" t="s">
        <v>53</v>
      </c>
      <c r="E14" s="3"/>
      <c r="F14" s="3"/>
      <c r="G14" s="14">
        <v>5.0968399592252807E-4</v>
      </c>
      <c r="H14" s="7"/>
      <c r="I14" s="14" t="e">
        <f>_xlfn.XLOOKUP(B14,#REF!,#REF!,0)</f>
        <v>#REF!</v>
      </c>
      <c r="J14" s="15" t="e">
        <f>_xlfn.XLOOKUP(B14,#REF!,#REF!,0)</f>
        <v>#REF!</v>
      </c>
      <c r="K14" s="15"/>
      <c r="L14" s="15"/>
      <c r="M14" s="15"/>
      <c r="N14" s="3" t="s">
        <v>205</v>
      </c>
      <c r="O14" s="3"/>
      <c r="P14" s="9" t="e">
        <f>_xlfn.XLOOKUP(A14,'By Country - Game'!A:A,'By Country - Game'!#REF!,0)</f>
        <v>#REF!</v>
      </c>
      <c r="Q14" s="9">
        <v>0</v>
      </c>
      <c r="R14" s="9">
        <f t="shared" si="0"/>
        <v>0</v>
      </c>
      <c r="S14" s="9" t="e">
        <f t="shared" si="1"/>
        <v>#REF!</v>
      </c>
      <c r="T14" s="19" t="e">
        <f t="shared" si="2"/>
        <v>#REF!</v>
      </c>
      <c r="U14" s="13"/>
      <c r="V14" s="9">
        <v>46.25</v>
      </c>
      <c r="W14" s="9" t="s">
        <v>52</v>
      </c>
      <c r="X14" s="9" t="s">
        <v>52</v>
      </c>
      <c r="Y14" s="9" t="s">
        <v>52</v>
      </c>
      <c r="Z14" s="9">
        <v>105.94</v>
      </c>
      <c r="AA14" s="9" t="s">
        <v>52</v>
      </c>
      <c r="AB14" s="9" t="s">
        <v>52</v>
      </c>
      <c r="AC14" s="9">
        <v>46.25</v>
      </c>
      <c r="AD14" s="9">
        <v>262.47000000000003</v>
      </c>
      <c r="AE14" s="9">
        <v>273.35000000000002</v>
      </c>
      <c r="AF14" s="9" t="s">
        <v>52</v>
      </c>
      <c r="AG14" t="s">
        <v>52</v>
      </c>
      <c r="AI14" s="9"/>
      <c r="AJ14" s="9">
        <v>0</v>
      </c>
      <c r="AK14" s="9">
        <f t="shared" si="3"/>
        <v>0</v>
      </c>
      <c r="AL14" s="9">
        <f t="shared" si="4"/>
        <v>0</v>
      </c>
      <c r="AM14" s="19">
        <f t="shared" si="5"/>
        <v>-15</v>
      </c>
      <c r="AN14" s="13"/>
    </row>
    <row r="15" spans="1:48" hidden="1" x14ac:dyDescent="0.25">
      <c r="A15" s="3" t="s">
        <v>70</v>
      </c>
      <c r="B15" s="3" t="s">
        <v>71</v>
      </c>
      <c r="C15" s="3" t="s">
        <v>52</v>
      </c>
      <c r="D15" s="3" t="s">
        <v>210</v>
      </c>
      <c r="E15" s="3"/>
      <c r="F15" s="3"/>
      <c r="G15" s="7">
        <v>5.0968399592252807E-4</v>
      </c>
      <c r="H15" s="7"/>
      <c r="I15" s="14" t="e">
        <f>_xlfn.XLOOKUP(B15,#REF!,#REF!,0)</f>
        <v>#REF!</v>
      </c>
      <c r="J15" s="15" t="e">
        <f>_xlfn.XLOOKUP(B15,#REF!,#REF!,0)</f>
        <v>#REF!</v>
      </c>
      <c r="K15" s="15"/>
      <c r="L15" s="15"/>
      <c r="M15" s="15"/>
      <c r="N15" s="3" t="s">
        <v>205</v>
      </c>
      <c r="O15" s="3"/>
      <c r="P15" s="21" t="e">
        <f>_xlfn.XLOOKUP(A15,'By Country - Game'!A:A,'By Country - Game'!#REF!,0)</f>
        <v>#REF!</v>
      </c>
      <c r="Q15" s="9">
        <v>0</v>
      </c>
      <c r="R15" s="9">
        <f t="shared" si="0"/>
        <v>0</v>
      </c>
      <c r="S15" s="9" t="e">
        <f t="shared" si="1"/>
        <v>#REF!</v>
      </c>
      <c r="T15" s="19" t="e">
        <f t="shared" si="2"/>
        <v>#REF!</v>
      </c>
      <c r="U15" s="13"/>
      <c r="V15" s="9">
        <v>46.25</v>
      </c>
      <c r="W15" s="9" t="s">
        <v>52</v>
      </c>
      <c r="X15" s="9" t="s">
        <v>52</v>
      </c>
      <c r="Y15" s="9" t="s">
        <v>52</v>
      </c>
      <c r="Z15" s="9">
        <v>89.44</v>
      </c>
      <c r="AA15" s="9" t="s">
        <v>52</v>
      </c>
      <c r="AB15" s="9" t="s">
        <v>52</v>
      </c>
      <c r="AC15" s="9">
        <v>46.25</v>
      </c>
      <c r="AD15" s="9" t="s">
        <v>52</v>
      </c>
      <c r="AE15" s="9" t="s">
        <v>52</v>
      </c>
      <c r="AF15" s="9">
        <v>150.88999999999999</v>
      </c>
      <c r="AG15" t="s">
        <v>52</v>
      </c>
      <c r="AI15" s="9"/>
      <c r="AJ15" s="9">
        <v>0</v>
      </c>
      <c r="AK15" s="9">
        <f t="shared" si="3"/>
        <v>0</v>
      </c>
      <c r="AL15" s="9">
        <f t="shared" si="4"/>
        <v>0</v>
      </c>
      <c r="AM15" s="19">
        <f t="shared" si="5"/>
        <v>-15</v>
      </c>
      <c r="AN15" s="13"/>
    </row>
    <row r="16" spans="1:48" hidden="1" x14ac:dyDescent="0.25">
      <c r="A16" s="3" t="s">
        <v>81</v>
      </c>
      <c r="B16" s="3"/>
      <c r="C16" s="3" t="s">
        <v>52</v>
      </c>
      <c r="D16" s="3"/>
      <c r="E16" s="3"/>
      <c r="F16" s="3" t="s">
        <v>81</v>
      </c>
      <c r="G16" s="7"/>
      <c r="H16" s="7"/>
      <c r="I16" s="14" t="e">
        <f>_xlfn.XLOOKUP(B16,#REF!,#REF!,0)</f>
        <v>#REF!</v>
      </c>
      <c r="J16" s="15" t="e">
        <f>_xlfn.XLOOKUP(B16,#REF!,#REF!,0)</f>
        <v>#REF!</v>
      </c>
      <c r="K16" s="15"/>
      <c r="L16" s="15"/>
      <c r="M16" s="15"/>
      <c r="N16" s="3"/>
      <c r="O16" s="3"/>
      <c r="P16" s="8"/>
      <c r="Q16" s="9">
        <v>0.21</v>
      </c>
      <c r="R16" s="9"/>
      <c r="S16" s="9">
        <f t="shared" si="1"/>
        <v>0</v>
      </c>
      <c r="T16" s="19">
        <f t="shared" si="2"/>
        <v>-15</v>
      </c>
      <c r="U16" s="13"/>
      <c r="V16" s="9">
        <v>0</v>
      </c>
      <c r="W16" s="9" t="s">
        <v>52</v>
      </c>
      <c r="X16" s="9" t="s">
        <v>52</v>
      </c>
      <c r="Y16" s="9" t="s">
        <v>52</v>
      </c>
      <c r="Z16" s="9" t="s">
        <v>52</v>
      </c>
      <c r="AA16" s="9" t="s">
        <v>52</v>
      </c>
      <c r="AB16" s="9" t="s">
        <v>52</v>
      </c>
      <c r="AC16" s="9" t="s">
        <v>52</v>
      </c>
      <c r="AD16" s="9" t="s">
        <v>52</v>
      </c>
      <c r="AE16" s="9" t="s">
        <v>52</v>
      </c>
      <c r="AF16" s="9" t="s">
        <v>52</v>
      </c>
      <c r="AG16" t="s">
        <v>52</v>
      </c>
      <c r="AI16" s="8"/>
      <c r="AJ16" s="9">
        <v>0.21</v>
      </c>
      <c r="AK16" s="9"/>
      <c r="AL16" s="9">
        <f t="shared" si="4"/>
        <v>0</v>
      </c>
      <c r="AM16" s="19">
        <f t="shared" si="5"/>
        <v>-15</v>
      </c>
      <c r="AN16" s="13"/>
    </row>
    <row r="17" spans="1:40" hidden="1" x14ac:dyDescent="0.25">
      <c r="A17" s="3" t="s">
        <v>66</v>
      </c>
      <c r="B17" s="3" t="s">
        <v>67</v>
      </c>
      <c r="C17" s="3" t="s">
        <v>52</v>
      </c>
      <c r="D17" s="3" t="s">
        <v>53</v>
      </c>
      <c r="E17" s="3"/>
      <c r="F17" s="3"/>
      <c r="G17" s="14">
        <v>5.0968399592252807E-4</v>
      </c>
      <c r="H17" s="3"/>
      <c r="I17" s="14" t="e">
        <f>_xlfn.XLOOKUP(B17,#REF!,#REF!,0)</f>
        <v>#REF!</v>
      </c>
      <c r="J17" s="15" t="e">
        <f>_xlfn.XLOOKUP(B17,#REF!,#REF!,0)</f>
        <v>#REF!</v>
      </c>
      <c r="K17" s="15"/>
      <c r="L17" s="15"/>
      <c r="M17" s="15"/>
      <c r="N17" s="3" t="s">
        <v>58</v>
      </c>
      <c r="O17" s="3"/>
      <c r="P17" s="9" t="e">
        <f>_xlfn.XLOOKUP(A17,'By Country - Game'!A:A,'By Country - Game'!#REF!,0)</f>
        <v>#REF!</v>
      </c>
      <c r="Q17" s="9">
        <v>0</v>
      </c>
      <c r="R17" s="9">
        <f t="shared" ref="R17:R18" si="6">$R$1*Q17</f>
        <v>0</v>
      </c>
      <c r="S17" s="9" t="e">
        <f t="shared" si="1"/>
        <v>#REF!</v>
      </c>
      <c r="T17" s="19" t="e">
        <f t="shared" si="2"/>
        <v>#REF!</v>
      </c>
      <c r="U17" s="13"/>
      <c r="V17" s="3">
        <v>53.85</v>
      </c>
      <c r="W17" s="3" t="s">
        <v>52</v>
      </c>
      <c r="X17" s="9" t="s">
        <v>52</v>
      </c>
      <c r="Y17" s="3" t="s">
        <v>52</v>
      </c>
      <c r="Z17" s="9">
        <v>106.84</v>
      </c>
      <c r="AA17" s="3" t="s">
        <v>52</v>
      </c>
      <c r="AB17" s="3" t="s">
        <v>52</v>
      </c>
      <c r="AC17" s="3"/>
      <c r="AD17" s="3">
        <v>81.59</v>
      </c>
      <c r="AE17" s="3" t="s">
        <v>52</v>
      </c>
      <c r="AF17" s="3">
        <v>53.85</v>
      </c>
      <c r="AG17" t="s">
        <v>52</v>
      </c>
      <c r="AI17" s="9"/>
      <c r="AJ17" s="9">
        <v>0</v>
      </c>
      <c r="AK17" s="9">
        <f t="shared" ref="AK17:AK18" si="7">$R$1*AJ17</f>
        <v>0</v>
      </c>
      <c r="AL17" s="9">
        <f t="shared" si="4"/>
        <v>0</v>
      </c>
      <c r="AM17" s="19">
        <f t="shared" si="5"/>
        <v>-15</v>
      </c>
      <c r="AN17" s="13"/>
    </row>
    <row r="18" spans="1:40" hidden="1" x14ac:dyDescent="0.25">
      <c r="A18" s="3" t="s">
        <v>63</v>
      </c>
      <c r="B18" s="3" t="s">
        <v>64</v>
      </c>
      <c r="C18" s="3" t="s">
        <v>52</v>
      </c>
      <c r="D18" s="3" t="s">
        <v>53</v>
      </c>
      <c r="E18" s="3"/>
      <c r="F18" s="3"/>
      <c r="G18" s="14">
        <v>5.0968399592252807E-4</v>
      </c>
      <c r="H18" s="3"/>
      <c r="I18" s="14" t="e">
        <f>_xlfn.XLOOKUP(B18,#REF!,#REF!,0)</f>
        <v>#REF!</v>
      </c>
      <c r="J18" s="15" t="e">
        <f>_xlfn.XLOOKUP(B18,#REF!,#REF!,0)</f>
        <v>#REF!</v>
      </c>
      <c r="K18" s="15"/>
      <c r="L18" s="15"/>
      <c r="M18" s="15"/>
      <c r="N18" s="3" t="s">
        <v>205</v>
      </c>
      <c r="O18" s="3" t="s">
        <v>65</v>
      </c>
      <c r="P18" s="9" t="e">
        <f>_xlfn.XLOOKUP(A18,'By Country - Game'!A:A,'By Country - Game'!#REF!,0)</f>
        <v>#REF!</v>
      </c>
      <c r="Q18" s="9">
        <v>0</v>
      </c>
      <c r="R18" s="9">
        <f t="shared" si="6"/>
        <v>0</v>
      </c>
      <c r="S18" s="9" t="e">
        <f t="shared" si="1"/>
        <v>#REF!</v>
      </c>
      <c r="T18" s="19" t="e">
        <f t="shared" si="2"/>
        <v>#REF!</v>
      </c>
      <c r="U18" s="13"/>
      <c r="V18" s="3">
        <v>73.989999999999995</v>
      </c>
      <c r="W18" s="3"/>
      <c r="X18" s="9"/>
      <c r="Y18" s="3"/>
      <c r="Z18" s="9">
        <v>73.989999999999995</v>
      </c>
      <c r="AA18" s="3"/>
      <c r="AB18" s="3"/>
      <c r="AC18" s="3"/>
      <c r="AD18" s="3">
        <v>95.63</v>
      </c>
      <c r="AE18" s="3"/>
      <c r="AF18" s="3"/>
      <c r="AI18" s="8"/>
      <c r="AJ18" s="9">
        <v>0</v>
      </c>
      <c r="AK18" s="9">
        <f t="shared" si="7"/>
        <v>0</v>
      </c>
      <c r="AL18" s="9">
        <f t="shared" si="4"/>
        <v>0</v>
      </c>
      <c r="AM18" s="19">
        <f t="shared" si="5"/>
        <v>-15</v>
      </c>
      <c r="AN18" s="13"/>
    </row>
    <row r="19" spans="1:40" x14ac:dyDescent="0.25">
      <c r="A19" s="3" t="s">
        <v>125</v>
      </c>
      <c r="B19" s="3" t="s">
        <v>126</v>
      </c>
      <c r="C19" s="3"/>
      <c r="D19" s="3" t="s">
        <v>81</v>
      </c>
      <c r="E19" s="3" t="s">
        <v>94</v>
      </c>
      <c r="F19" s="3"/>
      <c r="G19" s="14">
        <v>5.0968399592252805E-3</v>
      </c>
      <c r="H19" s="7"/>
      <c r="I19" s="14" t="e">
        <f>_xlfn.XLOOKUP(B19,#REF!,#REF!,0)</f>
        <v>#REF!</v>
      </c>
      <c r="J19" s="15" t="e">
        <f>_xlfn.XLOOKUP(B19,#REF!,#REF!,0)</f>
        <v>#REF!</v>
      </c>
      <c r="K19" s="7" t="e">
        <f t="shared" ref="K19:K41" si="8">J19/978</f>
        <v>#REF!</v>
      </c>
      <c r="L19" s="7" t="e">
        <f t="shared" ref="L19:L41" si="9">K19*Q19</f>
        <v>#REF!</v>
      </c>
      <c r="M19" s="15"/>
      <c r="N19" s="3" t="s">
        <v>73</v>
      </c>
      <c r="O19" s="3"/>
      <c r="P19" s="9" t="e">
        <f>_xlfn.XLOOKUP(A19,'By Country - Game'!A:A,'By Country - Game'!#REF!,0)</f>
        <v>#REF!</v>
      </c>
      <c r="Q19" s="9">
        <v>0.2</v>
      </c>
      <c r="R19" s="9"/>
      <c r="S19" s="9" t="e">
        <f t="shared" ref="S19:S48" si="10">P19+R19</f>
        <v>#REF!</v>
      </c>
      <c r="T19" s="19" t="e">
        <f t="shared" ref="T19:T64" si="11">ROUND(S19-$T$1,0)</f>
        <v>#REF!</v>
      </c>
      <c r="U19" s="13">
        <v>5</v>
      </c>
      <c r="V19" s="9">
        <v>15.89</v>
      </c>
      <c r="W19" s="9" t="s">
        <v>52</v>
      </c>
      <c r="X19" s="9" t="s">
        <v>52</v>
      </c>
      <c r="Y19" s="9" t="s">
        <v>52</v>
      </c>
      <c r="Z19" s="9">
        <v>65.959999999999994</v>
      </c>
      <c r="AA19" s="9" t="s">
        <v>52</v>
      </c>
      <c r="AB19" s="9" t="s">
        <v>52</v>
      </c>
      <c r="AC19" s="9">
        <v>15.89</v>
      </c>
      <c r="AD19" s="9">
        <v>21.33</v>
      </c>
      <c r="AE19" s="9">
        <v>113.8</v>
      </c>
      <c r="AF19" s="9" t="s">
        <v>52</v>
      </c>
      <c r="AG19">
        <v>59.97</v>
      </c>
      <c r="AI19" s="9">
        <v>16.22</v>
      </c>
      <c r="AJ19" s="9">
        <v>0.2</v>
      </c>
      <c r="AK19" s="9"/>
      <c r="AL19" s="9">
        <f t="shared" ref="AL19:AL48" si="12">AI19+AK19</f>
        <v>16.22</v>
      </c>
      <c r="AM19" s="19">
        <f t="shared" ref="AM19:AM46" si="13">ROUND(AL19-$AM$1,0)</f>
        <v>-14</v>
      </c>
      <c r="AN19" s="13">
        <v>0</v>
      </c>
    </row>
    <row r="20" spans="1:40" x14ac:dyDescent="0.25">
      <c r="A20" s="3" t="s">
        <v>99</v>
      </c>
      <c r="B20" s="3" t="s">
        <v>100</v>
      </c>
      <c r="C20" s="3"/>
      <c r="D20" s="3" t="s">
        <v>81</v>
      </c>
      <c r="E20" s="3" t="s">
        <v>94</v>
      </c>
      <c r="F20" s="3"/>
      <c r="G20" s="14">
        <v>1.3761467889908258E-2</v>
      </c>
      <c r="H20" s="7"/>
      <c r="I20" s="14" t="e">
        <f>_xlfn.XLOOKUP(B20,#REF!,#REF!,0)</f>
        <v>#REF!</v>
      </c>
      <c r="J20" s="15" t="e">
        <f>_xlfn.XLOOKUP(B20,#REF!,#REF!,0)</f>
        <v>#REF!</v>
      </c>
      <c r="K20" s="7" t="e">
        <f t="shared" si="8"/>
        <v>#REF!</v>
      </c>
      <c r="L20" s="7" t="e">
        <f t="shared" si="9"/>
        <v>#REF!</v>
      </c>
      <c r="M20" s="15"/>
      <c r="N20" s="3" t="s">
        <v>73</v>
      </c>
      <c r="O20" s="3"/>
      <c r="P20" s="9" t="e">
        <f>_xlfn.XLOOKUP(A20,'By Country - Game'!A:A,'By Country - Game'!#REF!,0)</f>
        <v>#REF!</v>
      </c>
      <c r="Q20" s="9">
        <v>0.21</v>
      </c>
      <c r="R20" s="9"/>
      <c r="S20" s="9" t="e">
        <f t="shared" si="10"/>
        <v>#REF!</v>
      </c>
      <c r="T20" s="19" t="e">
        <f t="shared" si="11"/>
        <v>#REF!</v>
      </c>
      <c r="U20" s="13">
        <v>5</v>
      </c>
      <c r="V20" s="9">
        <v>16.84</v>
      </c>
      <c r="W20" s="9" t="s">
        <v>52</v>
      </c>
      <c r="X20" s="9" t="s">
        <v>52</v>
      </c>
      <c r="Y20" s="9" t="s">
        <v>52</v>
      </c>
      <c r="Z20" s="9">
        <v>54.67</v>
      </c>
      <c r="AA20" s="9" t="s">
        <v>52</v>
      </c>
      <c r="AB20" s="9" t="s">
        <v>52</v>
      </c>
      <c r="AC20" s="9">
        <v>16.84</v>
      </c>
      <c r="AD20" s="9">
        <v>19.07</v>
      </c>
      <c r="AE20" s="9">
        <v>113.8</v>
      </c>
      <c r="AF20" s="9" t="s">
        <v>52</v>
      </c>
      <c r="AG20">
        <v>47.24</v>
      </c>
      <c r="AI20" s="9">
        <v>18.45</v>
      </c>
      <c r="AJ20" s="9">
        <v>0.21</v>
      </c>
      <c r="AK20" s="9"/>
      <c r="AL20" s="9">
        <f t="shared" si="12"/>
        <v>18.45</v>
      </c>
      <c r="AM20" s="19">
        <f t="shared" si="13"/>
        <v>-12</v>
      </c>
      <c r="AN20" s="13">
        <v>0</v>
      </c>
    </row>
    <row r="21" spans="1:40" x14ac:dyDescent="0.25">
      <c r="A21" s="3" t="s">
        <v>92</v>
      </c>
      <c r="B21" s="3" t="s">
        <v>93</v>
      </c>
      <c r="C21" s="3"/>
      <c r="D21" s="3" t="s">
        <v>81</v>
      </c>
      <c r="E21" s="3" t="s">
        <v>94</v>
      </c>
      <c r="F21" s="3"/>
      <c r="G21" s="14">
        <v>1.1213047910295617E-2</v>
      </c>
      <c r="H21" s="7"/>
      <c r="I21" s="14" t="e">
        <f>_xlfn.XLOOKUP(B21,#REF!,#REF!,0)</f>
        <v>#REF!</v>
      </c>
      <c r="J21" s="15" t="e">
        <f>_xlfn.XLOOKUP(B21,#REF!,#REF!,0)</f>
        <v>#REF!</v>
      </c>
      <c r="K21" s="7" t="e">
        <f t="shared" si="8"/>
        <v>#REF!</v>
      </c>
      <c r="L21" s="7" t="e">
        <f t="shared" si="9"/>
        <v>#REF!</v>
      </c>
      <c r="M21" s="15"/>
      <c r="N21" s="3" t="s">
        <v>73</v>
      </c>
      <c r="O21" s="3"/>
      <c r="P21" s="9" t="e">
        <f>_xlfn.XLOOKUP(A21,'By Country - Game'!A:A,'By Country - Game'!#REF!,0)</f>
        <v>#REF!</v>
      </c>
      <c r="Q21" s="9">
        <v>0.21</v>
      </c>
      <c r="R21" s="9"/>
      <c r="S21" s="9" t="e">
        <f t="shared" si="10"/>
        <v>#REF!</v>
      </c>
      <c r="T21" s="19" t="e">
        <f t="shared" si="11"/>
        <v>#REF!</v>
      </c>
      <c r="U21" s="13">
        <v>5</v>
      </c>
      <c r="V21" s="9">
        <v>16.84</v>
      </c>
      <c r="W21" s="9" t="s">
        <v>52</v>
      </c>
      <c r="X21" s="9" t="s">
        <v>52</v>
      </c>
      <c r="Y21" s="9" t="s">
        <v>52</v>
      </c>
      <c r="Z21" s="9">
        <v>54.67</v>
      </c>
      <c r="AA21" s="9" t="s">
        <v>52</v>
      </c>
      <c r="AB21" s="9" t="s">
        <v>52</v>
      </c>
      <c r="AC21" s="9">
        <v>16.84</v>
      </c>
      <c r="AD21" s="9">
        <v>18.43</v>
      </c>
      <c r="AE21" s="9">
        <v>113.8</v>
      </c>
      <c r="AF21" s="9" t="s">
        <v>52</v>
      </c>
      <c r="AG21">
        <v>47.24</v>
      </c>
      <c r="AI21" s="9">
        <v>18.11</v>
      </c>
      <c r="AJ21" s="9">
        <v>0.21</v>
      </c>
      <c r="AK21" s="9"/>
      <c r="AL21" s="9">
        <f t="shared" si="12"/>
        <v>18.11</v>
      </c>
      <c r="AM21" s="19">
        <f t="shared" si="13"/>
        <v>-12</v>
      </c>
      <c r="AN21" s="13">
        <v>0</v>
      </c>
    </row>
    <row r="22" spans="1:40" x14ac:dyDescent="0.25">
      <c r="A22" s="3" t="s">
        <v>139</v>
      </c>
      <c r="B22" s="3" t="s">
        <v>140</v>
      </c>
      <c r="C22" s="3"/>
      <c r="D22" s="3" t="s">
        <v>81</v>
      </c>
      <c r="E22" s="3" t="s">
        <v>94</v>
      </c>
      <c r="F22" s="3"/>
      <c r="G22" s="14">
        <v>1.5290519877675841E-3</v>
      </c>
      <c r="H22" s="7"/>
      <c r="I22" s="14" t="e">
        <f>_xlfn.XLOOKUP(B22,#REF!,#REF!,0)</f>
        <v>#REF!</v>
      </c>
      <c r="J22" s="15" t="e">
        <f>_xlfn.XLOOKUP(B22,#REF!,#REF!,0)</f>
        <v>#REF!</v>
      </c>
      <c r="K22" s="7" t="e">
        <f t="shared" si="8"/>
        <v>#REF!</v>
      </c>
      <c r="L22" s="7" t="e">
        <f t="shared" si="9"/>
        <v>#REF!</v>
      </c>
      <c r="M22" s="15"/>
      <c r="N22" s="3" t="s">
        <v>73</v>
      </c>
      <c r="O22" s="3"/>
      <c r="P22" s="9" t="e">
        <f>_xlfn.XLOOKUP(A22,'By Country - Game'!A:A,'By Country - Game'!#REF!,0)</f>
        <v>#REF!</v>
      </c>
      <c r="Q22" s="9">
        <v>0.17</v>
      </c>
      <c r="R22" s="9"/>
      <c r="S22" s="9" t="e">
        <f t="shared" si="10"/>
        <v>#REF!</v>
      </c>
      <c r="T22" s="19" t="e">
        <f t="shared" si="11"/>
        <v>#REF!</v>
      </c>
      <c r="U22" s="13">
        <v>5</v>
      </c>
      <c r="V22" s="9">
        <v>16.84</v>
      </c>
      <c r="W22" s="9" t="s">
        <v>52</v>
      </c>
      <c r="X22" s="9" t="s">
        <v>52</v>
      </c>
      <c r="Y22" s="9" t="s">
        <v>52</v>
      </c>
      <c r="Z22" s="9">
        <v>54.67</v>
      </c>
      <c r="AA22" s="9" t="s">
        <v>52</v>
      </c>
      <c r="AB22" s="9" t="s">
        <v>52</v>
      </c>
      <c r="AC22" s="9">
        <v>16.84</v>
      </c>
      <c r="AD22" s="9">
        <v>21.33</v>
      </c>
      <c r="AE22" s="9">
        <v>113.8</v>
      </c>
      <c r="AF22" s="9" t="s">
        <v>52</v>
      </c>
      <c r="AG22" t="s">
        <v>52</v>
      </c>
      <c r="AI22" s="9">
        <v>18.62</v>
      </c>
      <c r="AJ22" s="9">
        <v>0.17</v>
      </c>
      <c r="AK22" s="9"/>
      <c r="AL22" s="9">
        <f t="shared" si="12"/>
        <v>18.62</v>
      </c>
      <c r="AM22" s="19">
        <f t="shared" si="13"/>
        <v>-11</v>
      </c>
      <c r="AN22" s="13">
        <v>0</v>
      </c>
    </row>
    <row r="23" spans="1:40" x14ac:dyDescent="0.25">
      <c r="A23" s="3" t="s">
        <v>97</v>
      </c>
      <c r="B23" s="3" t="s">
        <v>98</v>
      </c>
      <c r="C23" s="3"/>
      <c r="D23" s="3" t="s">
        <v>81</v>
      </c>
      <c r="E23" s="3" t="s">
        <v>91</v>
      </c>
      <c r="F23" s="3"/>
      <c r="G23" s="14">
        <v>1.0703363914373088E-2</v>
      </c>
      <c r="H23" s="7"/>
      <c r="I23" s="14" t="e">
        <f>_xlfn.XLOOKUP(B23,#REF!,#REF!,0)</f>
        <v>#REF!</v>
      </c>
      <c r="J23" s="15" t="e">
        <f>_xlfn.XLOOKUP(B23,#REF!,#REF!,0)</f>
        <v>#REF!</v>
      </c>
      <c r="K23" s="7" t="e">
        <f t="shared" si="8"/>
        <v>#REF!</v>
      </c>
      <c r="L23" s="7" t="e">
        <f t="shared" si="9"/>
        <v>#REF!</v>
      </c>
      <c r="M23" s="15"/>
      <c r="N23" s="3" t="s">
        <v>73</v>
      </c>
      <c r="O23" s="3"/>
      <c r="P23" s="9" t="e">
        <f>_xlfn.XLOOKUP(A23,'By Country - Game'!A:A,'By Country - Game'!#REF!,0)</f>
        <v>#REF!</v>
      </c>
      <c r="Q23" s="9">
        <v>0.25</v>
      </c>
      <c r="R23" s="9"/>
      <c r="S23" s="9" t="e">
        <f t="shared" si="10"/>
        <v>#REF!</v>
      </c>
      <c r="T23" s="19" t="e">
        <f t="shared" si="11"/>
        <v>#REF!</v>
      </c>
      <c r="U23" s="13">
        <v>5</v>
      </c>
      <c r="V23" s="9">
        <v>19.22</v>
      </c>
      <c r="W23" s="9" t="s">
        <v>52</v>
      </c>
      <c r="X23" s="9" t="s">
        <v>52</v>
      </c>
      <c r="Y23" s="9" t="s">
        <v>52</v>
      </c>
      <c r="Z23" s="9">
        <v>61.79</v>
      </c>
      <c r="AA23" s="9" t="s">
        <v>52</v>
      </c>
      <c r="AB23" s="9" t="s">
        <v>52</v>
      </c>
      <c r="AC23" s="9">
        <v>19.22</v>
      </c>
      <c r="AD23" s="9">
        <v>21.33</v>
      </c>
      <c r="AE23" s="9">
        <v>113.8</v>
      </c>
      <c r="AF23" s="9" t="s">
        <v>52</v>
      </c>
      <c r="AG23">
        <v>47.24</v>
      </c>
      <c r="AI23" s="9">
        <v>20.52</v>
      </c>
      <c r="AJ23" s="9">
        <v>0.25</v>
      </c>
      <c r="AK23" s="9"/>
      <c r="AL23" s="9">
        <f t="shared" si="12"/>
        <v>20.52</v>
      </c>
      <c r="AM23" s="19">
        <f t="shared" si="13"/>
        <v>-9</v>
      </c>
      <c r="AN23" s="13">
        <v>0</v>
      </c>
    </row>
    <row r="24" spans="1:40" x14ac:dyDescent="0.25">
      <c r="A24" s="3" t="s">
        <v>156</v>
      </c>
      <c r="B24" s="3" t="s">
        <v>157</v>
      </c>
      <c r="C24" s="3"/>
      <c r="D24" s="3" t="s">
        <v>81</v>
      </c>
      <c r="E24" s="3" t="s">
        <v>94</v>
      </c>
      <c r="F24" s="3"/>
      <c r="G24" s="14">
        <v>0</v>
      </c>
      <c r="H24" s="7"/>
      <c r="I24" s="14" t="e">
        <f>_xlfn.XLOOKUP(B24,#REF!,#REF!,0)</f>
        <v>#REF!</v>
      </c>
      <c r="J24" s="15" t="e">
        <f>_xlfn.XLOOKUP(B24,#REF!,#REF!,0)</f>
        <v>#REF!</v>
      </c>
      <c r="K24" s="7" t="e">
        <f t="shared" si="8"/>
        <v>#REF!</v>
      </c>
      <c r="L24" s="7" t="e">
        <f t="shared" si="9"/>
        <v>#REF!</v>
      </c>
      <c r="M24" s="15"/>
      <c r="N24" s="3" t="s">
        <v>73</v>
      </c>
      <c r="O24" s="3"/>
      <c r="P24" s="9" t="e">
        <f>_xlfn.XLOOKUP(A24,'By Country - Game'!A:A,'By Country - Game'!#REF!,0)</f>
        <v>#REF!</v>
      </c>
      <c r="Q24" s="9">
        <v>0.19</v>
      </c>
      <c r="R24" s="9"/>
      <c r="S24" s="9" t="e">
        <f t="shared" si="10"/>
        <v>#REF!</v>
      </c>
      <c r="T24" s="19" t="e">
        <f t="shared" si="11"/>
        <v>#REF!</v>
      </c>
      <c r="U24" s="13">
        <v>5</v>
      </c>
      <c r="V24" s="9">
        <v>20.010000000000002</v>
      </c>
      <c r="W24" s="9" t="s">
        <v>52</v>
      </c>
      <c r="X24" s="9" t="s">
        <v>52</v>
      </c>
      <c r="Y24" s="9" t="s">
        <v>52</v>
      </c>
      <c r="Z24" s="9">
        <v>78.38</v>
      </c>
      <c r="AA24" s="9" t="s">
        <v>52</v>
      </c>
      <c r="AB24" s="9" t="s">
        <v>52</v>
      </c>
      <c r="AC24" s="9">
        <v>20.010000000000002</v>
      </c>
      <c r="AD24" s="9">
        <v>37.229999999999997</v>
      </c>
      <c r="AE24" s="9">
        <v>113.8</v>
      </c>
      <c r="AF24" s="9" t="s">
        <v>52</v>
      </c>
      <c r="AG24" t="s">
        <v>52</v>
      </c>
      <c r="AI24" s="9">
        <v>21.37</v>
      </c>
      <c r="AJ24" s="9">
        <v>0.19</v>
      </c>
      <c r="AK24" s="9"/>
      <c r="AL24" s="9">
        <f t="shared" si="12"/>
        <v>21.37</v>
      </c>
      <c r="AM24" s="19">
        <f t="shared" si="13"/>
        <v>-9</v>
      </c>
      <c r="AN24" s="13">
        <v>0</v>
      </c>
    </row>
    <row r="25" spans="1:40" x14ac:dyDescent="0.25">
      <c r="A25" s="3" t="s">
        <v>89</v>
      </c>
      <c r="B25" s="3" t="s">
        <v>90</v>
      </c>
      <c r="C25" s="3"/>
      <c r="D25" s="3" t="s">
        <v>81</v>
      </c>
      <c r="E25" s="3" t="s">
        <v>94</v>
      </c>
      <c r="F25" s="3"/>
      <c r="G25" s="14">
        <v>3.9245667686034658E-2</v>
      </c>
      <c r="H25" s="7"/>
      <c r="I25" s="14" t="e">
        <f>_xlfn.XLOOKUP(B25,#REF!,#REF!,0)</f>
        <v>#REF!</v>
      </c>
      <c r="J25" s="15" t="e">
        <f>_xlfn.XLOOKUP(B25,#REF!,#REF!,0)</f>
        <v>#REF!</v>
      </c>
      <c r="K25" s="7" t="e">
        <f t="shared" si="8"/>
        <v>#REF!</v>
      </c>
      <c r="L25" s="7" t="e">
        <f t="shared" si="9"/>
        <v>#REF!</v>
      </c>
      <c r="M25" s="15"/>
      <c r="N25" s="3" t="s">
        <v>73</v>
      </c>
      <c r="O25" s="3"/>
      <c r="P25" s="9" t="e">
        <f>_xlfn.XLOOKUP(A25,'By Country - Game'!A:A,'By Country - Game'!#REF!,0)</f>
        <v>#REF!</v>
      </c>
      <c r="Q25" s="9">
        <v>0.2</v>
      </c>
      <c r="R25" s="9"/>
      <c r="S25" s="9" t="e">
        <f t="shared" si="10"/>
        <v>#REF!</v>
      </c>
      <c r="T25" s="19" t="e">
        <f t="shared" si="11"/>
        <v>#REF!</v>
      </c>
      <c r="U25" s="13">
        <v>5</v>
      </c>
      <c r="V25" s="9">
        <v>20.010000000000002</v>
      </c>
      <c r="W25" s="9" t="s">
        <v>52</v>
      </c>
      <c r="X25" s="9" t="s">
        <v>52</v>
      </c>
      <c r="Y25" s="9" t="s">
        <v>52</v>
      </c>
      <c r="Z25" s="9">
        <v>54.67</v>
      </c>
      <c r="AA25" s="9" t="s">
        <v>52</v>
      </c>
      <c r="AB25" s="9" t="s">
        <v>52</v>
      </c>
      <c r="AC25" s="9">
        <v>20.010000000000002</v>
      </c>
      <c r="AD25" s="9">
        <v>22.21</v>
      </c>
      <c r="AE25" s="9">
        <v>113.8</v>
      </c>
      <c r="AF25" s="9" t="s">
        <v>52</v>
      </c>
      <c r="AG25">
        <v>47.24</v>
      </c>
      <c r="AI25" s="9">
        <v>21.37</v>
      </c>
      <c r="AJ25" s="9">
        <v>0.2</v>
      </c>
      <c r="AK25" s="9"/>
      <c r="AL25" s="9">
        <f t="shared" si="12"/>
        <v>21.37</v>
      </c>
      <c r="AM25" s="19">
        <f t="shared" si="13"/>
        <v>-9</v>
      </c>
      <c r="AN25" s="13">
        <v>0</v>
      </c>
    </row>
    <row r="26" spans="1:40" x14ac:dyDescent="0.25">
      <c r="A26" s="3" t="s">
        <v>154</v>
      </c>
      <c r="B26" s="3" t="s">
        <v>155</v>
      </c>
      <c r="C26" s="3"/>
      <c r="D26" s="3" t="s">
        <v>81</v>
      </c>
      <c r="E26" s="3" t="s">
        <v>94</v>
      </c>
      <c r="F26" s="3"/>
      <c r="G26" s="14">
        <v>3.0581039755351682E-3</v>
      </c>
      <c r="H26" s="7"/>
      <c r="I26" s="14" t="e">
        <f>_xlfn.XLOOKUP(B26,#REF!,#REF!,0)</f>
        <v>#REF!</v>
      </c>
      <c r="J26" s="15" t="e">
        <f>_xlfn.XLOOKUP(B26,#REF!,#REF!,0)</f>
        <v>#REF!</v>
      </c>
      <c r="K26" s="7" t="e">
        <f t="shared" si="8"/>
        <v>#REF!</v>
      </c>
      <c r="L26" s="7" t="e">
        <f t="shared" si="9"/>
        <v>#REF!</v>
      </c>
      <c r="M26" s="15"/>
      <c r="N26" s="3" t="s">
        <v>73</v>
      </c>
      <c r="O26" s="3"/>
      <c r="P26" s="9" t="e">
        <f>_xlfn.XLOOKUP(A26,'By Country - Game'!A:A,'By Country - Game'!#REF!,0)</f>
        <v>#REF!</v>
      </c>
      <c r="Q26" s="9">
        <v>0.2</v>
      </c>
      <c r="R26" s="9"/>
      <c r="S26" s="9" t="e">
        <f t="shared" si="10"/>
        <v>#REF!</v>
      </c>
      <c r="T26" s="19" t="e">
        <f t="shared" si="11"/>
        <v>#REF!</v>
      </c>
      <c r="U26" s="13">
        <v>5</v>
      </c>
      <c r="V26" s="9">
        <v>20.010000000000002</v>
      </c>
      <c r="W26" s="9" t="s">
        <v>52</v>
      </c>
      <c r="X26" s="9" t="s">
        <v>52</v>
      </c>
      <c r="Y26" s="9" t="s">
        <v>52</v>
      </c>
      <c r="Z26" s="9">
        <v>60.06</v>
      </c>
      <c r="AA26" s="9" t="s">
        <v>52</v>
      </c>
      <c r="AB26" s="9" t="s">
        <v>52</v>
      </c>
      <c r="AC26" s="9">
        <v>20.010000000000002</v>
      </c>
      <c r="AD26" s="9">
        <v>37.869999999999997</v>
      </c>
      <c r="AE26" s="9">
        <v>273.35000000000002</v>
      </c>
      <c r="AF26" s="9" t="s">
        <v>52</v>
      </c>
      <c r="AG26" t="s">
        <v>52</v>
      </c>
      <c r="AI26" s="9">
        <v>21.37</v>
      </c>
      <c r="AJ26" s="9">
        <v>0.2</v>
      </c>
      <c r="AK26" s="9"/>
      <c r="AL26" s="9">
        <f t="shared" si="12"/>
        <v>21.37</v>
      </c>
      <c r="AM26" s="19">
        <f t="shared" si="13"/>
        <v>-9</v>
      </c>
      <c r="AN26" s="13">
        <v>0</v>
      </c>
    </row>
    <row r="27" spans="1:40" x14ac:dyDescent="0.25">
      <c r="A27" s="3" t="s">
        <v>160</v>
      </c>
      <c r="B27" s="3" t="s">
        <v>161</v>
      </c>
      <c r="C27" s="3"/>
      <c r="D27" s="3" t="s">
        <v>81</v>
      </c>
      <c r="E27" s="3" t="s">
        <v>94</v>
      </c>
      <c r="F27" s="3"/>
      <c r="G27" s="14">
        <v>5.0968399592252807E-4</v>
      </c>
      <c r="H27" s="7"/>
      <c r="I27" s="14" t="e">
        <f>_xlfn.XLOOKUP(B27,#REF!,#REF!,0)</f>
        <v>#REF!</v>
      </c>
      <c r="J27" s="15" t="e">
        <f>_xlfn.XLOOKUP(B27,#REF!,#REF!,0)</f>
        <v>#REF!</v>
      </c>
      <c r="K27" s="7" t="e">
        <f t="shared" si="8"/>
        <v>#REF!</v>
      </c>
      <c r="L27" s="7" t="e">
        <f t="shared" si="9"/>
        <v>#REF!</v>
      </c>
      <c r="M27" s="15"/>
      <c r="N27" s="3" t="s">
        <v>73</v>
      </c>
      <c r="O27" s="3"/>
      <c r="P27" s="9" t="e">
        <f>_xlfn.XLOOKUP(A27,'By Country - Game'!A:A,'By Country - Game'!#REF!,0)</f>
        <v>#REF!</v>
      </c>
      <c r="Q27" s="9">
        <v>0.2</v>
      </c>
      <c r="R27" s="9"/>
      <c r="S27" s="9" t="e">
        <f t="shared" si="10"/>
        <v>#REF!</v>
      </c>
      <c r="T27" s="19" t="e">
        <f t="shared" si="11"/>
        <v>#REF!</v>
      </c>
      <c r="U27" s="13">
        <v>5</v>
      </c>
      <c r="V27" s="9">
        <v>20.010000000000002</v>
      </c>
      <c r="W27" s="9" t="s">
        <v>52</v>
      </c>
      <c r="X27" s="9" t="s">
        <v>52</v>
      </c>
      <c r="Y27" s="9" t="s">
        <v>52</v>
      </c>
      <c r="Z27" s="9">
        <v>74.040000000000006</v>
      </c>
      <c r="AA27" s="9" t="s">
        <v>52</v>
      </c>
      <c r="AB27" s="9" t="s">
        <v>52</v>
      </c>
      <c r="AC27" s="9">
        <v>20.010000000000002</v>
      </c>
      <c r="AD27" s="9">
        <v>29.51</v>
      </c>
      <c r="AE27" s="9">
        <v>273.35000000000002</v>
      </c>
      <c r="AF27" s="9" t="s">
        <v>52</v>
      </c>
      <c r="AG27" t="s">
        <v>52</v>
      </c>
      <c r="AI27" s="9">
        <v>21.37</v>
      </c>
      <c r="AJ27" s="9">
        <v>0.2</v>
      </c>
      <c r="AK27" s="9"/>
      <c r="AL27" s="9">
        <f t="shared" si="12"/>
        <v>21.37</v>
      </c>
      <c r="AM27" s="19">
        <f t="shared" si="13"/>
        <v>-9</v>
      </c>
      <c r="AN27" s="13">
        <v>0</v>
      </c>
    </row>
    <row r="28" spans="1:40" x14ac:dyDescent="0.25">
      <c r="A28" s="3" t="s">
        <v>158</v>
      </c>
      <c r="B28" s="3" t="s">
        <v>159</v>
      </c>
      <c r="C28" s="3"/>
      <c r="D28" s="3" t="s">
        <v>81</v>
      </c>
      <c r="E28" s="3" t="s">
        <v>94</v>
      </c>
      <c r="F28" s="3"/>
      <c r="G28" s="14">
        <v>0</v>
      </c>
      <c r="H28" s="7"/>
      <c r="I28" s="14" t="e">
        <f>_xlfn.XLOOKUP(B28,#REF!,#REF!,0)</f>
        <v>#REF!</v>
      </c>
      <c r="J28" s="15" t="e">
        <f>_xlfn.XLOOKUP(B28,#REF!,#REF!,0)</f>
        <v>#REF!</v>
      </c>
      <c r="K28" s="7" t="e">
        <f t="shared" si="8"/>
        <v>#REF!</v>
      </c>
      <c r="L28" s="7" t="e">
        <f t="shared" si="9"/>
        <v>#REF!</v>
      </c>
      <c r="M28" s="15"/>
      <c r="N28" s="3" t="s">
        <v>73</v>
      </c>
      <c r="O28" s="3"/>
      <c r="P28" s="9" t="e">
        <f>_xlfn.XLOOKUP(A28,'By Country - Game'!A:A,'By Country - Game'!#REF!,0)</f>
        <v>#REF!</v>
      </c>
      <c r="Q28" s="9">
        <v>0.2</v>
      </c>
      <c r="R28" s="9"/>
      <c r="S28" s="9" t="e">
        <f t="shared" si="10"/>
        <v>#REF!</v>
      </c>
      <c r="T28" s="19" t="e">
        <f t="shared" si="11"/>
        <v>#REF!</v>
      </c>
      <c r="U28" s="13">
        <v>5</v>
      </c>
      <c r="V28" s="9">
        <v>20.010000000000002</v>
      </c>
      <c r="W28" s="9" t="s">
        <v>52</v>
      </c>
      <c r="X28" s="9" t="s">
        <v>52</v>
      </c>
      <c r="Y28" s="9" t="s">
        <v>52</v>
      </c>
      <c r="Z28" s="9">
        <v>61.78</v>
      </c>
      <c r="AA28" s="9" t="s">
        <v>52</v>
      </c>
      <c r="AB28" s="9" t="s">
        <v>52</v>
      </c>
      <c r="AC28" s="9">
        <v>20.010000000000002</v>
      </c>
      <c r="AD28" s="9">
        <v>24.52</v>
      </c>
      <c r="AE28" s="9">
        <v>150.88999999999999</v>
      </c>
      <c r="AF28" s="9" t="s">
        <v>52</v>
      </c>
      <c r="AG28" t="s">
        <v>52</v>
      </c>
      <c r="AI28" s="9">
        <v>21.37</v>
      </c>
      <c r="AJ28" s="9">
        <v>0.2</v>
      </c>
      <c r="AK28" s="9"/>
      <c r="AL28" s="9">
        <f t="shared" si="12"/>
        <v>21.37</v>
      </c>
      <c r="AM28" s="19">
        <f t="shared" si="13"/>
        <v>-9</v>
      </c>
      <c r="AN28" s="13">
        <v>0</v>
      </c>
    </row>
    <row r="29" spans="1:40" x14ac:dyDescent="0.25">
      <c r="A29" s="3" t="s">
        <v>101</v>
      </c>
      <c r="B29" s="3" t="s">
        <v>102</v>
      </c>
      <c r="C29" s="3"/>
      <c r="D29" s="3" t="s">
        <v>81</v>
      </c>
      <c r="E29" s="3" t="s">
        <v>91</v>
      </c>
      <c r="F29" s="3"/>
      <c r="G29" s="14">
        <v>1.0703363914373088E-2</v>
      </c>
      <c r="H29" s="7"/>
      <c r="I29" s="14" t="e">
        <f>_xlfn.XLOOKUP(B29,#REF!,#REF!,0)</f>
        <v>#REF!</v>
      </c>
      <c r="J29" s="15" t="e">
        <f>_xlfn.XLOOKUP(B29,#REF!,#REF!,0)</f>
        <v>#REF!</v>
      </c>
      <c r="K29" s="7" t="e">
        <f t="shared" si="8"/>
        <v>#REF!</v>
      </c>
      <c r="L29" s="7" t="e">
        <f t="shared" si="9"/>
        <v>#REF!</v>
      </c>
      <c r="M29" s="15"/>
      <c r="N29" s="3" t="s">
        <v>73</v>
      </c>
      <c r="O29" s="3"/>
      <c r="P29" s="9" t="e">
        <f>_xlfn.XLOOKUP(A29,'By Country - Game'!A:A,'By Country - Game'!#REF!,0)</f>
        <v>#REF!</v>
      </c>
      <c r="Q29" s="9">
        <v>0.21</v>
      </c>
      <c r="R29" s="9"/>
      <c r="S29" s="9" t="e">
        <f t="shared" si="10"/>
        <v>#REF!</v>
      </c>
      <c r="T29" s="19" t="e">
        <f t="shared" si="11"/>
        <v>#REF!</v>
      </c>
      <c r="U29" s="13">
        <v>5</v>
      </c>
      <c r="V29" s="9">
        <v>20.010000000000002</v>
      </c>
      <c r="W29" s="9" t="s">
        <v>52</v>
      </c>
      <c r="X29" s="9" t="s">
        <v>52</v>
      </c>
      <c r="Y29" s="9" t="s">
        <v>52</v>
      </c>
      <c r="Z29" s="9">
        <v>65.290000000000006</v>
      </c>
      <c r="AA29" s="9" t="s">
        <v>52</v>
      </c>
      <c r="AB29" s="9" t="s">
        <v>52</v>
      </c>
      <c r="AC29" s="9">
        <v>20.010000000000002</v>
      </c>
      <c r="AD29" s="9">
        <v>25.94</v>
      </c>
      <c r="AE29" s="9">
        <v>113.8</v>
      </c>
      <c r="AF29" s="9" t="s">
        <v>52</v>
      </c>
      <c r="AG29" t="s">
        <v>52</v>
      </c>
      <c r="AI29" s="9">
        <v>21.37</v>
      </c>
      <c r="AJ29" s="9">
        <v>0.21</v>
      </c>
      <c r="AK29" s="9"/>
      <c r="AL29" s="9">
        <f t="shared" si="12"/>
        <v>21.37</v>
      </c>
      <c r="AM29" s="19">
        <f t="shared" si="13"/>
        <v>-9</v>
      </c>
      <c r="AN29" s="13">
        <v>0</v>
      </c>
    </row>
    <row r="30" spans="1:40" x14ac:dyDescent="0.25">
      <c r="A30" s="3" t="s">
        <v>119</v>
      </c>
      <c r="B30" s="3" t="s">
        <v>120</v>
      </c>
      <c r="C30" s="3"/>
      <c r="D30" s="3" t="s">
        <v>81</v>
      </c>
      <c r="E30" s="3" t="s">
        <v>91</v>
      </c>
      <c r="F30" s="3"/>
      <c r="G30" s="14">
        <v>6.6258919469928644E-3</v>
      </c>
      <c r="H30" s="7"/>
      <c r="I30" s="14" t="e">
        <f>_xlfn.XLOOKUP(B30,#REF!,#REF!,0)</f>
        <v>#REF!</v>
      </c>
      <c r="J30" s="15" t="e">
        <f>_xlfn.XLOOKUP(B30,#REF!,#REF!,0)</f>
        <v>#REF!</v>
      </c>
      <c r="K30" s="7" t="e">
        <f t="shared" si="8"/>
        <v>#REF!</v>
      </c>
      <c r="L30" s="7" t="e">
        <f t="shared" si="9"/>
        <v>#REF!</v>
      </c>
      <c r="M30" s="15"/>
      <c r="N30" s="3" t="s">
        <v>73</v>
      </c>
      <c r="O30" s="3"/>
      <c r="P30" s="9" t="e">
        <f>_xlfn.XLOOKUP(A30,'By Country - Game'!A:A,'By Country - Game'!#REF!,0)</f>
        <v>#REF!</v>
      </c>
      <c r="Q30" s="9">
        <v>0.21</v>
      </c>
      <c r="R30" s="9"/>
      <c r="S30" s="9" t="e">
        <f t="shared" si="10"/>
        <v>#REF!</v>
      </c>
      <c r="T30" s="19" t="e">
        <f t="shared" si="11"/>
        <v>#REF!</v>
      </c>
      <c r="U30" s="13">
        <v>5</v>
      </c>
      <c r="V30" s="9">
        <v>19.510000000000002</v>
      </c>
      <c r="W30" s="9" t="s">
        <v>52</v>
      </c>
      <c r="X30" s="9" t="s">
        <v>52</v>
      </c>
      <c r="Y30" s="9" t="s">
        <v>52</v>
      </c>
      <c r="Z30" s="9">
        <v>58.12</v>
      </c>
      <c r="AA30" s="9" t="s">
        <v>52</v>
      </c>
      <c r="AB30" s="9" t="s">
        <v>52</v>
      </c>
      <c r="AC30" s="9">
        <v>20.010000000000002</v>
      </c>
      <c r="AD30" s="9">
        <v>19.510000000000002</v>
      </c>
      <c r="AE30" s="9">
        <v>150.88999999999999</v>
      </c>
      <c r="AF30" s="9" t="s">
        <v>52</v>
      </c>
      <c r="AG30">
        <v>59.97</v>
      </c>
      <c r="AI30" s="9">
        <v>21.37</v>
      </c>
      <c r="AJ30" s="9">
        <v>0.21</v>
      </c>
      <c r="AK30" s="9"/>
      <c r="AL30" s="9">
        <f t="shared" si="12"/>
        <v>21.37</v>
      </c>
      <c r="AM30" s="19">
        <f t="shared" si="13"/>
        <v>-9</v>
      </c>
      <c r="AN30" s="13">
        <v>0</v>
      </c>
    </row>
    <row r="31" spans="1:40" x14ac:dyDescent="0.25">
      <c r="A31" s="3" t="s">
        <v>150</v>
      </c>
      <c r="B31" s="3" t="s">
        <v>151</v>
      </c>
      <c r="C31" s="3"/>
      <c r="D31" s="3" t="s">
        <v>81</v>
      </c>
      <c r="E31" s="3" t="s">
        <v>91</v>
      </c>
      <c r="F31" s="3"/>
      <c r="G31" s="14">
        <v>2.0387359836901123E-3</v>
      </c>
      <c r="H31" s="7"/>
      <c r="I31" s="14" t="e">
        <f>_xlfn.XLOOKUP(B31,#REF!,#REF!,0)</f>
        <v>#REF!</v>
      </c>
      <c r="J31" s="15" t="e">
        <f>_xlfn.XLOOKUP(B31,#REF!,#REF!,0)</f>
        <v>#REF!</v>
      </c>
      <c r="K31" s="7" t="e">
        <f t="shared" si="8"/>
        <v>#REF!</v>
      </c>
      <c r="L31" s="7" t="e">
        <f t="shared" si="9"/>
        <v>#REF!</v>
      </c>
      <c r="M31" s="15"/>
      <c r="N31" s="3" t="s">
        <v>73</v>
      </c>
      <c r="O31" s="3"/>
      <c r="P31" s="9" t="e">
        <f>_xlfn.XLOOKUP(A31,'By Country - Game'!A:A,'By Country - Game'!#REF!,0)</f>
        <v>#REF!</v>
      </c>
      <c r="Q31" s="9">
        <v>0.21</v>
      </c>
      <c r="R31" s="9"/>
      <c r="S31" s="9" t="e">
        <f t="shared" si="10"/>
        <v>#REF!</v>
      </c>
      <c r="T31" s="19" t="e">
        <f t="shared" si="11"/>
        <v>#REF!</v>
      </c>
      <c r="U31" s="13">
        <v>5</v>
      </c>
      <c r="V31" s="9">
        <v>20.010000000000002</v>
      </c>
      <c r="W31" s="9" t="s">
        <v>52</v>
      </c>
      <c r="X31" s="9" t="s">
        <v>52</v>
      </c>
      <c r="Y31" s="9" t="s">
        <v>52</v>
      </c>
      <c r="Z31" s="9">
        <v>61</v>
      </c>
      <c r="AA31" s="9" t="s">
        <v>52</v>
      </c>
      <c r="AB31" s="9" t="s">
        <v>52</v>
      </c>
      <c r="AC31" s="9">
        <v>20.010000000000002</v>
      </c>
      <c r="AD31" s="9">
        <v>25.94</v>
      </c>
      <c r="AE31" s="9">
        <v>273.35000000000002</v>
      </c>
      <c r="AF31" s="9" t="s">
        <v>52</v>
      </c>
      <c r="AG31" t="s">
        <v>52</v>
      </c>
      <c r="AI31" s="9">
        <v>21.37</v>
      </c>
      <c r="AJ31" s="9">
        <v>0.21</v>
      </c>
      <c r="AK31" s="9"/>
      <c r="AL31" s="9">
        <f t="shared" si="12"/>
        <v>21.37</v>
      </c>
      <c r="AM31" s="19">
        <f t="shared" si="13"/>
        <v>-9</v>
      </c>
      <c r="AN31" s="13">
        <v>0</v>
      </c>
    </row>
    <row r="32" spans="1:40" x14ac:dyDescent="0.25">
      <c r="A32" s="3" t="s">
        <v>170</v>
      </c>
      <c r="B32" s="3" t="s">
        <v>171</v>
      </c>
      <c r="C32" s="3"/>
      <c r="D32" s="3" t="s">
        <v>81</v>
      </c>
      <c r="E32" s="3" t="s">
        <v>91</v>
      </c>
      <c r="F32" s="3"/>
      <c r="G32" s="14">
        <v>5.0968399592252807E-4</v>
      </c>
      <c r="H32" s="7"/>
      <c r="I32" s="14" t="e">
        <f>_xlfn.XLOOKUP(B32,#REF!,#REF!,0)</f>
        <v>#REF!</v>
      </c>
      <c r="J32" s="15" t="e">
        <f>_xlfn.XLOOKUP(B32,#REF!,#REF!,0)</f>
        <v>#REF!</v>
      </c>
      <c r="K32" s="7" t="e">
        <f t="shared" si="8"/>
        <v>#REF!</v>
      </c>
      <c r="L32" s="7" t="e">
        <f t="shared" si="9"/>
        <v>#REF!</v>
      </c>
      <c r="M32" s="15"/>
      <c r="N32" s="3" t="s">
        <v>73</v>
      </c>
      <c r="O32" s="3"/>
      <c r="P32" s="9" t="e">
        <f>_xlfn.XLOOKUP(A32,'By Country - Game'!A:A,'By Country - Game'!#REF!,0)</f>
        <v>#REF!</v>
      </c>
      <c r="Q32" s="9">
        <v>0.21</v>
      </c>
      <c r="R32" s="9"/>
      <c r="S32" s="9" t="e">
        <f t="shared" si="10"/>
        <v>#REF!</v>
      </c>
      <c r="T32" s="19" t="e">
        <f t="shared" si="11"/>
        <v>#REF!</v>
      </c>
      <c r="U32" s="13">
        <v>5</v>
      </c>
      <c r="V32" s="9">
        <v>20.010000000000002</v>
      </c>
      <c r="W32" s="9" t="s">
        <v>52</v>
      </c>
      <c r="X32" s="9" t="s">
        <v>52</v>
      </c>
      <c r="Y32" s="9" t="s">
        <v>52</v>
      </c>
      <c r="Z32" s="9">
        <v>64.53</v>
      </c>
      <c r="AA32" s="9" t="s">
        <v>52</v>
      </c>
      <c r="AB32" s="9" t="s">
        <v>52</v>
      </c>
      <c r="AC32" s="9">
        <v>20.010000000000002</v>
      </c>
      <c r="AD32" s="9">
        <v>25.94</v>
      </c>
      <c r="AE32" s="9">
        <v>273.35000000000002</v>
      </c>
      <c r="AF32" s="9" t="s">
        <v>52</v>
      </c>
      <c r="AG32" t="s">
        <v>52</v>
      </c>
      <c r="AI32" s="9">
        <v>21.37</v>
      </c>
      <c r="AJ32" s="9">
        <v>0.21</v>
      </c>
      <c r="AK32" s="9"/>
      <c r="AL32" s="9">
        <f t="shared" si="12"/>
        <v>21.37</v>
      </c>
      <c r="AM32" s="19">
        <f t="shared" si="13"/>
        <v>-9</v>
      </c>
      <c r="AN32" s="13">
        <v>0</v>
      </c>
    </row>
    <row r="33" spans="1:40" x14ac:dyDescent="0.25">
      <c r="A33" s="3" t="s">
        <v>121</v>
      </c>
      <c r="B33" s="3" t="s">
        <v>122</v>
      </c>
      <c r="C33" s="3"/>
      <c r="D33" s="3" t="s">
        <v>81</v>
      </c>
      <c r="E33" s="3" t="s">
        <v>91</v>
      </c>
      <c r="F33" s="3"/>
      <c r="G33" s="14">
        <v>1.6309887869520898E-2</v>
      </c>
      <c r="H33" s="7"/>
      <c r="I33" s="14" t="e">
        <f>_xlfn.XLOOKUP(B33,#REF!,#REF!,0)</f>
        <v>#REF!</v>
      </c>
      <c r="J33" s="15" t="e">
        <f>_xlfn.XLOOKUP(B33,#REF!,#REF!,0)</f>
        <v>#REF!</v>
      </c>
      <c r="K33" s="7" t="e">
        <f t="shared" si="8"/>
        <v>#REF!</v>
      </c>
      <c r="L33" s="7" t="e">
        <f t="shared" si="9"/>
        <v>#REF!</v>
      </c>
      <c r="M33" s="15"/>
      <c r="N33" s="3" t="s">
        <v>73</v>
      </c>
      <c r="O33" s="3"/>
      <c r="P33" s="9" t="e">
        <f>_xlfn.XLOOKUP(A33,'By Country - Game'!A:A,'By Country - Game'!#REF!,0)</f>
        <v>#REF!</v>
      </c>
      <c r="Q33" s="9">
        <v>0.22</v>
      </c>
      <c r="R33" s="9"/>
      <c r="S33" s="9" t="e">
        <f t="shared" si="10"/>
        <v>#REF!</v>
      </c>
      <c r="T33" s="19" t="e">
        <f t="shared" si="11"/>
        <v>#REF!</v>
      </c>
      <c r="U33" s="13">
        <v>5</v>
      </c>
      <c r="V33" s="9">
        <v>20.010000000000002</v>
      </c>
      <c r="W33" s="9" t="s">
        <v>52</v>
      </c>
      <c r="X33" s="9" t="s">
        <v>52</v>
      </c>
      <c r="Y33" s="9" t="s">
        <v>52</v>
      </c>
      <c r="Z33" s="9">
        <v>54.67</v>
      </c>
      <c r="AA33" s="9" t="s">
        <v>52</v>
      </c>
      <c r="AB33" s="9" t="s">
        <v>52</v>
      </c>
      <c r="AC33" s="9">
        <v>20.010000000000002</v>
      </c>
      <c r="AD33" s="9">
        <v>25.94</v>
      </c>
      <c r="AE33" s="9">
        <v>113.8</v>
      </c>
      <c r="AF33" s="9" t="s">
        <v>52</v>
      </c>
      <c r="AG33">
        <v>96.73</v>
      </c>
      <c r="AI33" s="9">
        <v>21.37</v>
      </c>
      <c r="AJ33" s="9">
        <v>0.22</v>
      </c>
      <c r="AK33" s="9"/>
      <c r="AL33" s="9">
        <f t="shared" si="12"/>
        <v>21.37</v>
      </c>
      <c r="AM33" s="19">
        <f t="shared" si="13"/>
        <v>-9</v>
      </c>
      <c r="AN33" s="13">
        <v>0</v>
      </c>
    </row>
    <row r="34" spans="1:40" x14ac:dyDescent="0.25">
      <c r="A34" s="3" t="s">
        <v>152</v>
      </c>
      <c r="B34" s="3" t="s">
        <v>153</v>
      </c>
      <c r="C34" s="3"/>
      <c r="D34" s="3" t="s">
        <v>81</v>
      </c>
      <c r="E34" s="3" t="s">
        <v>91</v>
      </c>
      <c r="F34" s="3"/>
      <c r="G34" s="14">
        <v>5.0968399592252807E-4</v>
      </c>
      <c r="H34" s="7"/>
      <c r="I34" s="14" t="e">
        <f>_xlfn.XLOOKUP(B34,#REF!,#REF!,0)</f>
        <v>#REF!</v>
      </c>
      <c r="J34" s="15" t="e">
        <f>_xlfn.XLOOKUP(B34,#REF!,#REF!,0)</f>
        <v>#REF!</v>
      </c>
      <c r="K34" s="7" t="e">
        <f t="shared" si="8"/>
        <v>#REF!</v>
      </c>
      <c r="L34" s="7" t="e">
        <f t="shared" si="9"/>
        <v>#REF!</v>
      </c>
      <c r="M34" s="15"/>
      <c r="N34" s="3" t="s">
        <v>73</v>
      </c>
      <c r="O34" s="3"/>
      <c r="P34" s="9" t="e">
        <f>_xlfn.XLOOKUP(A34,'By Country - Game'!A:A,'By Country - Game'!#REF!,0)</f>
        <v>#REF!</v>
      </c>
      <c r="Q34" s="9">
        <v>0.22</v>
      </c>
      <c r="R34" s="9"/>
      <c r="S34" s="9" t="e">
        <f t="shared" si="10"/>
        <v>#REF!</v>
      </c>
      <c r="T34" s="19" t="e">
        <f t="shared" si="11"/>
        <v>#REF!</v>
      </c>
      <c r="U34" s="13">
        <v>5</v>
      </c>
      <c r="V34" s="9">
        <v>20.010000000000002</v>
      </c>
      <c r="W34" s="9" t="s">
        <v>52</v>
      </c>
      <c r="X34" s="9" t="s">
        <v>52</v>
      </c>
      <c r="Y34" s="9" t="s">
        <v>52</v>
      </c>
      <c r="Z34" s="9">
        <v>69.97</v>
      </c>
      <c r="AA34" s="9" t="s">
        <v>52</v>
      </c>
      <c r="AB34" s="9" t="s">
        <v>52</v>
      </c>
      <c r="AC34" s="9">
        <v>20.010000000000002</v>
      </c>
      <c r="AD34" s="9">
        <v>23.03</v>
      </c>
      <c r="AE34" s="9">
        <v>273.35000000000002</v>
      </c>
      <c r="AF34" s="9" t="s">
        <v>52</v>
      </c>
      <c r="AG34" t="s">
        <v>52</v>
      </c>
      <c r="AI34" s="9">
        <v>21.37</v>
      </c>
      <c r="AJ34" s="9">
        <v>0.22</v>
      </c>
      <c r="AK34" s="9"/>
      <c r="AL34" s="9">
        <f t="shared" si="12"/>
        <v>21.37</v>
      </c>
      <c r="AM34" s="19">
        <f t="shared" si="13"/>
        <v>-9</v>
      </c>
      <c r="AN34" s="13">
        <v>0</v>
      </c>
    </row>
    <row r="35" spans="1:40" x14ac:dyDescent="0.25">
      <c r="A35" s="3" t="s">
        <v>110</v>
      </c>
      <c r="B35" s="3" t="s">
        <v>111</v>
      </c>
      <c r="C35" s="3"/>
      <c r="D35" s="3" t="s">
        <v>81</v>
      </c>
      <c r="E35" s="3" t="s">
        <v>91</v>
      </c>
      <c r="F35" s="3"/>
      <c r="G35" s="14">
        <v>6.6258919469928644E-3</v>
      </c>
      <c r="H35" s="7"/>
      <c r="I35" s="14" t="e">
        <f>_xlfn.XLOOKUP(B35,#REF!,#REF!,0)</f>
        <v>#REF!</v>
      </c>
      <c r="J35" s="15" t="e">
        <f>_xlfn.XLOOKUP(B35,#REF!,#REF!,0)</f>
        <v>#REF!</v>
      </c>
      <c r="K35" s="7" t="e">
        <f t="shared" si="8"/>
        <v>#REF!</v>
      </c>
      <c r="L35" s="7" t="e">
        <f t="shared" si="9"/>
        <v>#REF!</v>
      </c>
      <c r="M35" s="15"/>
      <c r="N35" s="3" t="s">
        <v>73</v>
      </c>
      <c r="O35" s="3"/>
      <c r="P35" s="9" t="e">
        <f>_xlfn.XLOOKUP(A35,'By Country - Game'!A:A,'By Country - Game'!#REF!,0)</f>
        <v>#REF!</v>
      </c>
      <c r="Q35" s="9">
        <v>0.23</v>
      </c>
      <c r="R35" s="9"/>
      <c r="S35" s="9" t="e">
        <f t="shared" si="10"/>
        <v>#REF!</v>
      </c>
      <c r="T35" s="19" t="e">
        <f t="shared" si="11"/>
        <v>#REF!</v>
      </c>
      <c r="U35" s="13">
        <v>5</v>
      </c>
      <c r="V35" s="9">
        <v>20.010000000000002</v>
      </c>
      <c r="W35" s="9" t="s">
        <v>52</v>
      </c>
      <c r="X35" s="9" t="s">
        <v>52</v>
      </c>
      <c r="Y35" s="9" t="s">
        <v>52</v>
      </c>
      <c r="Z35" s="9">
        <v>59.55</v>
      </c>
      <c r="AA35" s="9" t="s">
        <v>52</v>
      </c>
      <c r="AB35" s="9" t="s">
        <v>52</v>
      </c>
      <c r="AC35" s="9">
        <v>20.010000000000002</v>
      </c>
      <c r="AD35" s="9">
        <v>21.9</v>
      </c>
      <c r="AE35" s="9">
        <v>113.8</v>
      </c>
      <c r="AF35" s="9" t="s">
        <v>52</v>
      </c>
      <c r="AG35" t="s">
        <v>52</v>
      </c>
      <c r="AI35" s="9">
        <v>21.37</v>
      </c>
      <c r="AJ35" s="9">
        <v>0.23</v>
      </c>
      <c r="AK35" s="9"/>
      <c r="AL35" s="9">
        <f t="shared" si="12"/>
        <v>21.37</v>
      </c>
      <c r="AM35" s="19">
        <f t="shared" si="13"/>
        <v>-9</v>
      </c>
      <c r="AN35" s="13">
        <v>0</v>
      </c>
    </row>
    <row r="36" spans="1:40" x14ac:dyDescent="0.25">
      <c r="A36" s="3" t="s">
        <v>129</v>
      </c>
      <c r="B36" s="3" t="s">
        <v>130</v>
      </c>
      <c r="C36" s="3"/>
      <c r="D36" s="3" t="s">
        <v>81</v>
      </c>
      <c r="E36" s="3" t="s">
        <v>91</v>
      </c>
      <c r="F36" s="3"/>
      <c r="G36" s="14">
        <v>3.0581039755351682E-3</v>
      </c>
      <c r="H36" s="7"/>
      <c r="I36" s="14" t="e">
        <f>_xlfn.XLOOKUP(B36,#REF!,#REF!,0)</f>
        <v>#REF!</v>
      </c>
      <c r="J36" s="15" t="e">
        <f>_xlfn.XLOOKUP(B36,#REF!,#REF!,0)</f>
        <v>#REF!</v>
      </c>
      <c r="K36" s="7" t="e">
        <f t="shared" si="8"/>
        <v>#REF!</v>
      </c>
      <c r="L36" s="7" t="e">
        <f t="shared" si="9"/>
        <v>#REF!</v>
      </c>
      <c r="M36" s="15"/>
      <c r="N36" s="3" t="s">
        <v>73</v>
      </c>
      <c r="O36" s="3"/>
      <c r="P36" s="9" t="e">
        <f>_xlfn.XLOOKUP(A36,'By Country - Game'!A:A,'By Country - Game'!#REF!,0)</f>
        <v>#REF!</v>
      </c>
      <c r="Q36" s="9">
        <v>0.23</v>
      </c>
      <c r="R36" s="9"/>
      <c r="S36" s="9" t="e">
        <f t="shared" si="10"/>
        <v>#REF!</v>
      </c>
      <c r="T36" s="19" t="e">
        <f t="shared" si="11"/>
        <v>#REF!</v>
      </c>
      <c r="U36" s="13">
        <v>5</v>
      </c>
      <c r="V36" s="9">
        <v>20.010000000000002</v>
      </c>
      <c r="W36" s="9" t="s">
        <v>52</v>
      </c>
      <c r="X36" s="9" t="s">
        <v>52</v>
      </c>
      <c r="Y36" s="9" t="s">
        <v>52</v>
      </c>
      <c r="Z36" s="9">
        <v>54.67</v>
      </c>
      <c r="AA36" s="9" t="s">
        <v>52</v>
      </c>
      <c r="AB36" s="9" t="s">
        <v>52</v>
      </c>
      <c r="AC36" s="9">
        <v>20.010000000000002</v>
      </c>
      <c r="AD36" s="9">
        <v>20.13</v>
      </c>
      <c r="AE36" s="9">
        <v>113.8</v>
      </c>
      <c r="AF36" s="9" t="s">
        <v>52</v>
      </c>
      <c r="AG36" t="s">
        <v>52</v>
      </c>
      <c r="AI36" s="9">
        <v>21.37</v>
      </c>
      <c r="AJ36" s="9">
        <v>0.23</v>
      </c>
      <c r="AK36" s="9"/>
      <c r="AL36" s="9">
        <f t="shared" si="12"/>
        <v>21.37</v>
      </c>
      <c r="AM36" s="19">
        <f t="shared" si="13"/>
        <v>-9</v>
      </c>
      <c r="AN36" s="13">
        <v>0</v>
      </c>
    </row>
    <row r="37" spans="1:40" x14ac:dyDescent="0.25">
      <c r="A37" s="3" t="s">
        <v>137</v>
      </c>
      <c r="B37" s="3" t="s">
        <v>138</v>
      </c>
      <c r="C37" s="3"/>
      <c r="D37" s="3" t="s">
        <v>81</v>
      </c>
      <c r="E37" s="3" t="s">
        <v>91</v>
      </c>
      <c r="F37" s="3"/>
      <c r="G37" s="14">
        <v>1.0193679918450561E-3</v>
      </c>
      <c r="H37" s="7"/>
      <c r="I37" s="14" t="e">
        <f>_xlfn.XLOOKUP(B37,#REF!,#REF!,0)</f>
        <v>#REF!</v>
      </c>
      <c r="J37" s="15" t="e">
        <f>_xlfn.XLOOKUP(B37,#REF!,#REF!,0)</f>
        <v>#REF!</v>
      </c>
      <c r="K37" s="7" t="e">
        <f t="shared" si="8"/>
        <v>#REF!</v>
      </c>
      <c r="L37" s="7" t="e">
        <f t="shared" si="9"/>
        <v>#REF!</v>
      </c>
      <c r="M37" s="15"/>
      <c r="N37" s="3" t="s">
        <v>73</v>
      </c>
      <c r="O37" s="3"/>
      <c r="P37" s="9" t="e">
        <f>_xlfn.XLOOKUP(A37,'By Country - Game'!A:A,'By Country - Game'!#REF!,0)</f>
        <v>#REF!</v>
      </c>
      <c r="Q37" s="9">
        <v>0.23</v>
      </c>
      <c r="R37" s="9"/>
      <c r="S37" s="9" t="e">
        <f t="shared" si="10"/>
        <v>#REF!</v>
      </c>
      <c r="T37" s="19" t="e">
        <f t="shared" si="11"/>
        <v>#REF!</v>
      </c>
      <c r="U37" s="13">
        <v>5</v>
      </c>
      <c r="V37" s="9">
        <v>20.010000000000002</v>
      </c>
      <c r="W37" s="9" t="s">
        <v>52</v>
      </c>
      <c r="X37" s="9" t="s">
        <v>52</v>
      </c>
      <c r="Y37" s="9" t="s">
        <v>52</v>
      </c>
      <c r="Z37" s="9">
        <v>65.47</v>
      </c>
      <c r="AA37" s="9" t="s">
        <v>52</v>
      </c>
      <c r="AB37" s="9" t="s">
        <v>52</v>
      </c>
      <c r="AC37" s="9">
        <v>20.010000000000002</v>
      </c>
      <c r="AD37" s="9">
        <v>31.37</v>
      </c>
      <c r="AE37" s="9">
        <v>113.8</v>
      </c>
      <c r="AF37" s="9" t="s">
        <v>52</v>
      </c>
      <c r="AG37" t="s">
        <v>52</v>
      </c>
      <c r="AI37" s="9">
        <v>21.37</v>
      </c>
      <c r="AJ37" s="9">
        <v>0.23</v>
      </c>
      <c r="AK37" s="9"/>
      <c r="AL37" s="9">
        <f t="shared" si="12"/>
        <v>21.37</v>
      </c>
      <c r="AM37" s="19">
        <f t="shared" si="13"/>
        <v>-9</v>
      </c>
      <c r="AN37" s="13">
        <v>0</v>
      </c>
    </row>
    <row r="38" spans="1:40" x14ac:dyDescent="0.25">
      <c r="A38" s="3" t="s">
        <v>108</v>
      </c>
      <c r="B38" s="3" t="s">
        <v>109</v>
      </c>
      <c r="C38" s="3"/>
      <c r="D38" s="3" t="s">
        <v>81</v>
      </c>
      <c r="E38" s="3" t="s">
        <v>91</v>
      </c>
      <c r="F38" s="3"/>
      <c r="G38" s="14">
        <v>6.6258919469928644E-3</v>
      </c>
      <c r="H38" s="7"/>
      <c r="I38" s="14" t="e">
        <f>_xlfn.XLOOKUP(B38,#REF!,#REF!,0)</f>
        <v>#REF!</v>
      </c>
      <c r="J38" s="15" t="e">
        <f>_xlfn.XLOOKUP(B38,#REF!,#REF!,0)</f>
        <v>#REF!</v>
      </c>
      <c r="K38" s="7" t="e">
        <f t="shared" si="8"/>
        <v>#REF!</v>
      </c>
      <c r="L38" s="7" t="e">
        <f t="shared" si="9"/>
        <v>#REF!</v>
      </c>
      <c r="M38" s="15"/>
      <c r="N38" s="3" t="s">
        <v>73</v>
      </c>
      <c r="O38" s="3"/>
      <c r="P38" s="9" t="e">
        <f>_xlfn.XLOOKUP(A38,'By Country - Game'!A:A,'By Country - Game'!#REF!,0)</f>
        <v>#REF!</v>
      </c>
      <c r="Q38" s="9">
        <v>0.24</v>
      </c>
      <c r="R38" s="9"/>
      <c r="S38" s="9" t="e">
        <f t="shared" si="10"/>
        <v>#REF!</v>
      </c>
      <c r="T38" s="19" t="e">
        <f t="shared" si="11"/>
        <v>#REF!</v>
      </c>
      <c r="U38" s="13">
        <v>5</v>
      </c>
      <c r="V38" s="9">
        <v>20.010000000000002</v>
      </c>
      <c r="W38" s="9" t="s">
        <v>52</v>
      </c>
      <c r="X38" s="9" t="s">
        <v>52</v>
      </c>
      <c r="Y38" s="9" t="s">
        <v>52</v>
      </c>
      <c r="Z38" s="9">
        <v>66.45</v>
      </c>
      <c r="AA38" s="9" t="s">
        <v>52</v>
      </c>
      <c r="AB38" s="9" t="s">
        <v>52</v>
      </c>
      <c r="AC38" s="9">
        <v>20.010000000000002</v>
      </c>
      <c r="AD38" s="9">
        <v>31.6</v>
      </c>
      <c r="AE38" s="9">
        <v>150.88999999999999</v>
      </c>
      <c r="AF38" s="9" t="s">
        <v>52</v>
      </c>
      <c r="AG38">
        <v>59.97</v>
      </c>
      <c r="AI38" s="9">
        <v>21.37</v>
      </c>
      <c r="AJ38" s="9">
        <v>0.24</v>
      </c>
      <c r="AK38" s="9"/>
      <c r="AL38" s="9">
        <f t="shared" si="12"/>
        <v>21.37</v>
      </c>
      <c r="AM38" s="19">
        <f t="shared" si="13"/>
        <v>-9</v>
      </c>
      <c r="AN38" s="13">
        <v>0</v>
      </c>
    </row>
    <row r="39" spans="1:40" x14ac:dyDescent="0.25">
      <c r="A39" s="3" t="s">
        <v>141</v>
      </c>
      <c r="B39" s="3" t="s">
        <v>142</v>
      </c>
      <c r="C39" s="3"/>
      <c r="D39" s="3" t="s">
        <v>81</v>
      </c>
      <c r="E39" s="3" t="s">
        <v>91</v>
      </c>
      <c r="F39" s="3"/>
      <c r="G39" s="14">
        <v>2.0387359836901123E-3</v>
      </c>
      <c r="H39" s="7"/>
      <c r="I39" s="14" t="e">
        <f>_xlfn.XLOOKUP(B39,#REF!,#REF!,0)</f>
        <v>#REF!</v>
      </c>
      <c r="J39" s="15" t="e">
        <f>_xlfn.XLOOKUP(B39,#REF!,#REF!,0)</f>
        <v>#REF!</v>
      </c>
      <c r="K39" s="7" t="e">
        <f t="shared" si="8"/>
        <v>#REF!</v>
      </c>
      <c r="L39" s="7" t="e">
        <f t="shared" si="9"/>
        <v>#REF!</v>
      </c>
      <c r="M39" s="15"/>
      <c r="N39" s="3" t="s">
        <v>73</v>
      </c>
      <c r="O39" s="3"/>
      <c r="P39" s="9" t="e">
        <f>_xlfn.XLOOKUP(A39,'By Country - Game'!A:A,'By Country - Game'!#REF!,0)</f>
        <v>#REF!</v>
      </c>
      <c r="Q39" s="9">
        <v>0.24</v>
      </c>
      <c r="R39" s="9"/>
      <c r="S39" s="9" t="e">
        <f t="shared" si="10"/>
        <v>#REF!</v>
      </c>
      <c r="T39" s="19" t="e">
        <f t="shared" si="11"/>
        <v>#REF!</v>
      </c>
      <c r="U39" s="13">
        <v>5</v>
      </c>
      <c r="V39" s="9">
        <v>20.010000000000002</v>
      </c>
      <c r="W39" s="9" t="s">
        <v>52</v>
      </c>
      <c r="X39" s="9" t="s">
        <v>52</v>
      </c>
      <c r="Y39" s="9" t="s">
        <v>52</v>
      </c>
      <c r="Z39" s="9">
        <v>66.45</v>
      </c>
      <c r="AA39" s="9" t="s">
        <v>52</v>
      </c>
      <c r="AB39" s="9" t="s">
        <v>52</v>
      </c>
      <c r="AC39" s="9">
        <v>20.010000000000002</v>
      </c>
      <c r="AD39" s="9">
        <v>45.63</v>
      </c>
      <c r="AE39" s="9">
        <v>150.88999999999999</v>
      </c>
      <c r="AF39" s="9" t="s">
        <v>52</v>
      </c>
      <c r="AG39" t="s">
        <v>52</v>
      </c>
      <c r="AI39" s="9">
        <v>21.37</v>
      </c>
      <c r="AJ39" s="9">
        <v>0.24</v>
      </c>
      <c r="AK39" s="9"/>
      <c r="AL39" s="9">
        <f t="shared" si="12"/>
        <v>21.37</v>
      </c>
      <c r="AM39" s="19">
        <f t="shared" si="13"/>
        <v>-9</v>
      </c>
      <c r="AN39" s="13">
        <v>0</v>
      </c>
    </row>
    <row r="40" spans="1:40" x14ac:dyDescent="0.25">
      <c r="A40" s="3" t="s">
        <v>95</v>
      </c>
      <c r="B40" s="3" t="s">
        <v>96</v>
      </c>
      <c r="C40" s="3"/>
      <c r="D40" s="3" t="s">
        <v>81</v>
      </c>
      <c r="E40" s="3" t="s">
        <v>91</v>
      </c>
      <c r="F40" s="3"/>
      <c r="G40" s="14">
        <v>1.3251783893985729E-2</v>
      </c>
      <c r="H40" s="7"/>
      <c r="I40" s="14" t="e">
        <f>_xlfn.XLOOKUP(B40,#REF!,#REF!,0)</f>
        <v>#REF!</v>
      </c>
      <c r="J40" s="15" t="e">
        <f>_xlfn.XLOOKUP(B40,#REF!,#REF!,0)</f>
        <v>#REF!</v>
      </c>
      <c r="K40" s="7" t="e">
        <f t="shared" si="8"/>
        <v>#REF!</v>
      </c>
      <c r="L40" s="7" t="e">
        <f t="shared" si="9"/>
        <v>#REF!</v>
      </c>
      <c r="M40" s="15"/>
      <c r="N40" s="3" t="s">
        <v>73</v>
      </c>
      <c r="O40" s="3"/>
      <c r="P40" s="9" t="e">
        <f>_xlfn.XLOOKUP(A40,'By Country - Game'!A:A,'By Country - Game'!#REF!,0)</f>
        <v>#REF!</v>
      </c>
      <c r="Q40" s="9">
        <v>0.25</v>
      </c>
      <c r="R40" s="9"/>
      <c r="S40" s="9" t="e">
        <f t="shared" si="10"/>
        <v>#REF!</v>
      </c>
      <c r="T40" s="19" t="e">
        <f t="shared" si="11"/>
        <v>#REF!</v>
      </c>
      <c r="U40" s="13">
        <v>5</v>
      </c>
      <c r="V40" s="9">
        <v>20.010000000000002</v>
      </c>
      <c r="W40" s="9" t="s">
        <v>52</v>
      </c>
      <c r="X40" s="9" t="s">
        <v>52</v>
      </c>
      <c r="Y40" s="9" t="s">
        <v>52</v>
      </c>
      <c r="Z40" s="9">
        <v>66.45</v>
      </c>
      <c r="AA40" s="9" t="s">
        <v>52</v>
      </c>
      <c r="AB40" s="9" t="s">
        <v>52</v>
      </c>
      <c r="AC40" s="9">
        <v>20.010000000000002</v>
      </c>
      <c r="AD40" s="9">
        <v>26.65</v>
      </c>
      <c r="AE40" s="9">
        <v>113.8</v>
      </c>
      <c r="AF40" s="9" t="s">
        <v>52</v>
      </c>
      <c r="AG40">
        <v>96.73</v>
      </c>
      <c r="AI40" s="9">
        <v>21.37</v>
      </c>
      <c r="AJ40" s="9">
        <v>0.25</v>
      </c>
      <c r="AK40" s="9"/>
      <c r="AL40" s="9">
        <f t="shared" si="12"/>
        <v>21.37</v>
      </c>
      <c r="AM40" s="19">
        <f t="shared" si="13"/>
        <v>-9</v>
      </c>
      <c r="AN40" s="13">
        <v>0</v>
      </c>
    </row>
    <row r="41" spans="1:40" x14ac:dyDescent="0.25">
      <c r="A41" s="3" t="s">
        <v>127</v>
      </c>
      <c r="B41" s="3" t="s">
        <v>128</v>
      </c>
      <c r="C41" s="3"/>
      <c r="D41" s="3" t="s">
        <v>81</v>
      </c>
      <c r="E41" s="3" t="s">
        <v>91</v>
      </c>
      <c r="F41" s="3"/>
      <c r="G41" s="14">
        <v>1.0193679918450561E-3</v>
      </c>
      <c r="H41" s="7"/>
      <c r="I41" s="14" t="e">
        <f>_xlfn.XLOOKUP(B41,#REF!,#REF!,0)</f>
        <v>#REF!</v>
      </c>
      <c r="J41" s="15" t="e">
        <f>_xlfn.XLOOKUP(B41,#REF!,#REF!,0)</f>
        <v>#REF!</v>
      </c>
      <c r="K41" s="7" t="e">
        <f t="shared" si="8"/>
        <v>#REF!</v>
      </c>
      <c r="L41" s="7" t="e">
        <f t="shared" si="9"/>
        <v>#REF!</v>
      </c>
      <c r="M41" s="15"/>
      <c r="N41" s="3" t="s">
        <v>73</v>
      </c>
      <c r="O41" s="3"/>
      <c r="P41" s="9" t="e">
        <f>_xlfn.XLOOKUP(A41,'By Country - Game'!A:A,'By Country - Game'!#REF!,0)</f>
        <v>#REF!</v>
      </c>
      <c r="Q41" s="9">
        <v>0.27</v>
      </c>
      <c r="R41" s="9"/>
      <c r="S41" s="9" t="e">
        <f t="shared" si="10"/>
        <v>#REF!</v>
      </c>
      <c r="T41" s="19" t="e">
        <f t="shared" si="11"/>
        <v>#REF!</v>
      </c>
      <c r="U41" s="13">
        <v>5</v>
      </c>
      <c r="V41" s="9">
        <v>20.010000000000002</v>
      </c>
      <c r="W41" s="9" t="s">
        <v>52</v>
      </c>
      <c r="X41" s="9" t="s">
        <v>52</v>
      </c>
      <c r="Y41" s="9" t="s">
        <v>52</v>
      </c>
      <c r="Z41" s="9">
        <v>59.18</v>
      </c>
      <c r="AA41" s="9" t="s">
        <v>52</v>
      </c>
      <c r="AB41" s="9" t="s">
        <v>52</v>
      </c>
      <c r="AC41" s="9">
        <v>20.010000000000002</v>
      </c>
      <c r="AD41" s="9">
        <v>25.94</v>
      </c>
      <c r="AE41" s="9">
        <v>150.88999999999999</v>
      </c>
      <c r="AF41" s="9" t="s">
        <v>52</v>
      </c>
      <c r="AG41">
        <v>59.97</v>
      </c>
      <c r="AI41" s="9">
        <v>21.37</v>
      </c>
      <c r="AJ41" s="9">
        <v>0.27</v>
      </c>
      <c r="AK41" s="9"/>
      <c r="AL41" s="9">
        <f t="shared" si="12"/>
        <v>21.37</v>
      </c>
      <c r="AM41" s="19">
        <f t="shared" si="13"/>
        <v>-9</v>
      </c>
      <c r="AN41" s="13">
        <v>0</v>
      </c>
    </row>
    <row r="42" spans="1:40" x14ac:dyDescent="0.25">
      <c r="A42" s="3" t="s">
        <v>114</v>
      </c>
      <c r="B42" s="3" t="s">
        <v>115</v>
      </c>
      <c r="C42" s="3"/>
      <c r="D42" s="3" t="s">
        <v>105</v>
      </c>
      <c r="E42" s="3">
        <v>1</v>
      </c>
      <c r="F42" s="3" t="s">
        <v>116</v>
      </c>
      <c r="G42" s="14">
        <v>4.0774719673802246E-3</v>
      </c>
      <c r="H42" s="7"/>
      <c r="I42" s="14" t="e">
        <f>_xlfn.XLOOKUP(B42,#REF!,#REF!,0)</f>
        <v>#REF!</v>
      </c>
      <c r="J42" s="15" t="e">
        <f>_xlfn.XLOOKUP(B42,#REF!,#REF!,0)</f>
        <v>#REF!</v>
      </c>
      <c r="K42" s="15"/>
      <c r="L42" s="15"/>
      <c r="M42" s="15"/>
      <c r="N42" s="3" t="s">
        <v>117</v>
      </c>
      <c r="O42" s="3" t="s">
        <v>118</v>
      </c>
      <c r="P42" s="9" t="e">
        <f>_xlfn.XLOOKUP(A42,'By Country - Game'!A:A,'By Country - Game'!#REF!,0)</f>
        <v>#REF!</v>
      </c>
      <c r="Q42" s="9">
        <v>0</v>
      </c>
      <c r="R42" s="9">
        <f t="shared" ref="R42:R57" si="14">$R$1*Q42</f>
        <v>0</v>
      </c>
      <c r="S42" s="9" t="e">
        <f t="shared" si="10"/>
        <v>#REF!</v>
      </c>
      <c r="T42" s="19" t="e">
        <f t="shared" si="11"/>
        <v>#REF!</v>
      </c>
      <c r="U42" s="13">
        <v>0</v>
      </c>
      <c r="V42" s="9">
        <v>20.97</v>
      </c>
      <c r="W42" s="9" t="s">
        <v>52</v>
      </c>
      <c r="X42" s="9" t="s">
        <v>52</v>
      </c>
      <c r="Y42" s="9" t="s">
        <v>52</v>
      </c>
      <c r="Z42" s="9">
        <v>57.9</v>
      </c>
      <c r="AA42" s="9" t="s">
        <v>52</v>
      </c>
      <c r="AB42" s="9" t="s">
        <v>52</v>
      </c>
      <c r="AC42" s="9">
        <v>46.25</v>
      </c>
      <c r="AD42" s="9">
        <v>91.73</v>
      </c>
      <c r="AE42" s="9">
        <v>20.97</v>
      </c>
      <c r="AF42" s="9" t="s">
        <v>52</v>
      </c>
      <c r="AG42" t="s">
        <v>52</v>
      </c>
      <c r="AI42" s="9">
        <v>21.93</v>
      </c>
      <c r="AJ42" s="9">
        <v>0</v>
      </c>
      <c r="AK42" s="9">
        <f t="shared" ref="AK42:AK57" si="15">$R$1*AJ42</f>
        <v>0</v>
      </c>
      <c r="AL42" s="9">
        <f t="shared" si="12"/>
        <v>21.93</v>
      </c>
      <c r="AM42" s="19">
        <f t="shared" si="13"/>
        <v>-8</v>
      </c>
      <c r="AN42" s="13">
        <v>0</v>
      </c>
    </row>
    <row r="43" spans="1:40" x14ac:dyDescent="0.25">
      <c r="A43" s="3" t="s">
        <v>133</v>
      </c>
      <c r="B43" s="3" t="s">
        <v>134</v>
      </c>
      <c r="C43" s="3"/>
      <c r="D43" s="3" t="s">
        <v>105</v>
      </c>
      <c r="E43" s="3">
        <v>1</v>
      </c>
      <c r="F43" s="3" t="s">
        <v>116</v>
      </c>
      <c r="G43" s="14">
        <v>3.5677879714576962E-3</v>
      </c>
      <c r="H43" s="7"/>
      <c r="I43" s="14" t="e">
        <f>_xlfn.XLOOKUP(B43,#REF!,#REF!,0)</f>
        <v>#REF!</v>
      </c>
      <c r="J43" s="15" t="e">
        <f>_xlfn.XLOOKUP(B43,#REF!,#REF!,0)</f>
        <v>#REF!</v>
      </c>
      <c r="K43" s="15"/>
      <c r="L43" s="15"/>
      <c r="M43" s="15"/>
      <c r="N43" s="3" t="s">
        <v>117</v>
      </c>
      <c r="O43" s="3" t="s">
        <v>118</v>
      </c>
      <c r="P43" s="9" t="e">
        <f>_xlfn.XLOOKUP(A43,'By Country - Game'!A:A,'By Country - Game'!#REF!,0)</f>
        <v>#REF!</v>
      </c>
      <c r="Q43" s="9">
        <v>0</v>
      </c>
      <c r="R43" s="9">
        <f t="shared" si="14"/>
        <v>0</v>
      </c>
      <c r="S43" s="9" t="e">
        <f t="shared" si="10"/>
        <v>#REF!</v>
      </c>
      <c r="T43" s="19" t="e">
        <f t="shared" si="11"/>
        <v>#REF!</v>
      </c>
      <c r="U43" s="13">
        <v>0</v>
      </c>
      <c r="V43" s="9">
        <v>20.97</v>
      </c>
      <c r="W43" s="9" t="s">
        <v>52</v>
      </c>
      <c r="X43" s="9" t="s">
        <v>52</v>
      </c>
      <c r="Y43" s="9" t="s">
        <v>52</v>
      </c>
      <c r="Z43" s="9">
        <v>72.569999999999993</v>
      </c>
      <c r="AA43" s="9" t="s">
        <v>52</v>
      </c>
      <c r="AB43" s="9" t="s">
        <v>52</v>
      </c>
      <c r="AC43" s="9">
        <v>46.25</v>
      </c>
      <c r="AD43" s="9">
        <v>103.35</v>
      </c>
      <c r="AE43" s="9">
        <v>20.97</v>
      </c>
      <c r="AF43" s="9" t="s">
        <v>52</v>
      </c>
      <c r="AG43" t="s">
        <v>52</v>
      </c>
      <c r="AI43" s="9">
        <v>21.93</v>
      </c>
      <c r="AJ43" s="9">
        <v>0</v>
      </c>
      <c r="AK43" s="9">
        <f t="shared" si="15"/>
        <v>0</v>
      </c>
      <c r="AL43" s="9">
        <f t="shared" si="12"/>
        <v>21.93</v>
      </c>
      <c r="AM43" s="19">
        <f t="shared" si="13"/>
        <v>-8</v>
      </c>
      <c r="AN43" s="13">
        <v>0</v>
      </c>
    </row>
    <row r="44" spans="1:40" x14ac:dyDescent="0.25">
      <c r="A44" s="3" t="s">
        <v>79</v>
      </c>
      <c r="B44" s="3" t="s">
        <v>80</v>
      </c>
      <c r="C44" s="3"/>
      <c r="D44" s="3" t="s">
        <v>81</v>
      </c>
      <c r="E44" s="3" t="s">
        <v>82</v>
      </c>
      <c r="F44" s="3" t="s">
        <v>79</v>
      </c>
      <c r="G44" s="14">
        <v>6.3710499490316E-2</v>
      </c>
      <c r="H44" s="7">
        <v>0.29069767441860467</v>
      </c>
      <c r="I44" s="14" t="e">
        <f>_xlfn.XLOOKUP(B44,#REF!,#REF!,0)</f>
        <v>#REF!</v>
      </c>
      <c r="J44" s="15" t="e">
        <f>_xlfn.XLOOKUP(B44,#REF!,#REF!,0)</f>
        <v>#REF!</v>
      </c>
      <c r="K44" s="7" t="e">
        <f>J44/978</f>
        <v>#REF!</v>
      </c>
      <c r="L44" s="7" t="e">
        <f>K44*Q44</f>
        <v>#REF!</v>
      </c>
      <c r="M44" s="15"/>
      <c r="N44" s="3" t="s">
        <v>73</v>
      </c>
      <c r="O44" s="3"/>
      <c r="P44" s="9" t="e">
        <f>_xlfn.XLOOKUP(A44,'By Country - Game'!A:A,'By Country - Game'!#REF!,0)</f>
        <v>#REF!</v>
      </c>
      <c r="Q44" s="9">
        <v>0.19</v>
      </c>
      <c r="R44" s="9">
        <f t="shared" si="14"/>
        <v>11.875</v>
      </c>
      <c r="S44" s="9" t="e">
        <f t="shared" si="10"/>
        <v>#REF!</v>
      </c>
      <c r="T44" s="19" t="e">
        <f t="shared" si="11"/>
        <v>#REF!</v>
      </c>
      <c r="U44" s="13">
        <v>5</v>
      </c>
      <c r="V44" s="9">
        <v>10.46</v>
      </c>
      <c r="W44" s="9" t="s">
        <v>52</v>
      </c>
      <c r="X44" s="9" t="s">
        <v>52</v>
      </c>
      <c r="Y44" s="9" t="s">
        <v>52</v>
      </c>
      <c r="Z44" s="9">
        <v>54.53</v>
      </c>
      <c r="AA44" s="9" t="s">
        <v>52</v>
      </c>
      <c r="AB44" s="9" t="s">
        <v>52</v>
      </c>
      <c r="AC44" s="9">
        <v>10.46</v>
      </c>
      <c r="AD44" s="9">
        <v>18.21</v>
      </c>
      <c r="AE44" s="9">
        <v>113.8</v>
      </c>
      <c r="AF44" s="9" t="s">
        <v>52</v>
      </c>
      <c r="AG44">
        <v>96.73</v>
      </c>
      <c r="AI44" s="9">
        <v>11</v>
      </c>
      <c r="AJ44" s="9">
        <v>0.19</v>
      </c>
      <c r="AK44" s="9">
        <f t="shared" si="15"/>
        <v>11.875</v>
      </c>
      <c r="AL44" s="9">
        <f t="shared" si="12"/>
        <v>22.875</v>
      </c>
      <c r="AM44" s="19">
        <f t="shared" si="13"/>
        <v>-7</v>
      </c>
      <c r="AN44" s="13">
        <v>0</v>
      </c>
    </row>
    <row r="45" spans="1:40" x14ac:dyDescent="0.25">
      <c r="A45" s="3" t="s">
        <v>48</v>
      </c>
      <c r="B45" s="3" t="s">
        <v>49</v>
      </c>
      <c r="C45" s="3"/>
      <c r="D45" s="3" t="s">
        <v>46</v>
      </c>
      <c r="E45" s="3">
        <v>1</v>
      </c>
      <c r="F45" s="3"/>
      <c r="G45" s="14">
        <v>7.6452599388379203E-3</v>
      </c>
      <c r="H45" s="7"/>
      <c r="I45" s="14" t="e">
        <f>_xlfn.XLOOKUP(B45,#REF!,#REF!,0)</f>
        <v>#REF!</v>
      </c>
      <c r="J45" s="15" t="e">
        <f>_xlfn.XLOOKUP(B45,#REF!,#REF!,0)</f>
        <v>#REF!</v>
      </c>
      <c r="K45" s="15"/>
      <c r="L45" s="15"/>
      <c r="M45" s="15"/>
      <c r="N45" s="3" t="s">
        <v>205</v>
      </c>
      <c r="O45" s="3"/>
      <c r="P45" s="9" t="e">
        <f>_xlfn.XLOOKUP(A45,'By Country - Game'!A:A,'By Country - Game'!#REF!,0)</f>
        <v>#REF!</v>
      </c>
      <c r="Q45" s="9">
        <v>0</v>
      </c>
      <c r="R45" s="9">
        <f t="shared" si="14"/>
        <v>0</v>
      </c>
      <c r="S45" s="9" t="e">
        <f t="shared" si="10"/>
        <v>#REF!</v>
      </c>
      <c r="T45" s="19" t="e">
        <f t="shared" si="11"/>
        <v>#REF!</v>
      </c>
      <c r="U45" s="13">
        <v>10</v>
      </c>
      <c r="V45" s="9">
        <v>24.75</v>
      </c>
      <c r="W45" s="9" t="s">
        <v>52</v>
      </c>
      <c r="X45" s="9" t="s">
        <v>52</v>
      </c>
      <c r="Y45" s="9" t="s">
        <v>52</v>
      </c>
      <c r="Z45" s="9">
        <v>66.45</v>
      </c>
      <c r="AA45" s="9" t="s">
        <v>52</v>
      </c>
      <c r="AB45" s="9" t="s">
        <v>52</v>
      </c>
      <c r="AC45" s="9">
        <v>24.75</v>
      </c>
      <c r="AD45" s="9">
        <v>27.66</v>
      </c>
      <c r="AE45" s="9">
        <v>113.8</v>
      </c>
      <c r="AF45" s="9" t="s">
        <v>52</v>
      </c>
      <c r="AG45">
        <v>59.97</v>
      </c>
      <c r="AI45" s="9">
        <v>26.53</v>
      </c>
      <c r="AJ45" s="9">
        <v>0</v>
      </c>
      <c r="AK45" s="9">
        <f t="shared" si="15"/>
        <v>0</v>
      </c>
      <c r="AL45" s="9">
        <f t="shared" si="12"/>
        <v>26.53</v>
      </c>
      <c r="AM45" s="19">
        <f t="shared" si="13"/>
        <v>-3</v>
      </c>
      <c r="AN45" s="13">
        <v>0</v>
      </c>
    </row>
    <row r="46" spans="1:40" x14ac:dyDescent="0.25">
      <c r="A46" s="3" t="s">
        <v>44</v>
      </c>
      <c r="B46" s="3" t="s">
        <v>45</v>
      </c>
      <c r="C46" s="3"/>
      <c r="D46" s="3" t="s">
        <v>46</v>
      </c>
      <c r="E46" s="3">
        <v>1</v>
      </c>
      <c r="F46" s="3"/>
      <c r="G46" s="14">
        <v>7.6452599388379203E-3</v>
      </c>
      <c r="H46" s="7"/>
      <c r="I46" s="14" t="e">
        <f>_xlfn.XLOOKUP(B46,#REF!,#REF!,0)</f>
        <v>#REF!</v>
      </c>
      <c r="J46" s="15" t="e">
        <f>_xlfn.XLOOKUP(B46,#REF!,#REF!,0)</f>
        <v>#REF!</v>
      </c>
      <c r="K46" s="15"/>
      <c r="L46" s="15"/>
      <c r="M46" s="15"/>
      <c r="N46" s="3" t="s">
        <v>205</v>
      </c>
      <c r="O46" s="3"/>
      <c r="P46" s="9" t="e">
        <f>_xlfn.XLOOKUP(A46,'By Country - Game'!A:A,'By Country - Game'!#REF!,0)</f>
        <v>#REF!</v>
      </c>
      <c r="Q46" s="9">
        <v>0</v>
      </c>
      <c r="R46" s="9">
        <f t="shared" si="14"/>
        <v>0</v>
      </c>
      <c r="S46" s="9" t="e">
        <f t="shared" si="10"/>
        <v>#REF!</v>
      </c>
      <c r="T46" s="19" t="e">
        <f t="shared" si="11"/>
        <v>#REF!</v>
      </c>
      <c r="U46" s="13">
        <v>10</v>
      </c>
      <c r="V46" s="9">
        <v>24.75</v>
      </c>
      <c r="W46" s="9" t="s">
        <v>52</v>
      </c>
      <c r="X46" s="9" t="s">
        <v>52</v>
      </c>
      <c r="Y46" s="9" t="s">
        <v>52</v>
      </c>
      <c r="Z46" s="9">
        <v>66.45</v>
      </c>
      <c r="AA46" s="9" t="s">
        <v>52</v>
      </c>
      <c r="AB46" s="9" t="s">
        <v>52</v>
      </c>
      <c r="AC46" s="9">
        <v>24.75</v>
      </c>
      <c r="AD46" s="9">
        <v>33.67</v>
      </c>
      <c r="AE46" s="9">
        <v>113.8</v>
      </c>
      <c r="AF46" s="9" t="s">
        <v>52</v>
      </c>
      <c r="AG46">
        <v>96.73</v>
      </c>
      <c r="AI46" s="9">
        <v>26.53</v>
      </c>
      <c r="AJ46" s="9">
        <v>0</v>
      </c>
      <c r="AK46" s="9">
        <f t="shared" si="15"/>
        <v>0</v>
      </c>
      <c r="AL46" s="9">
        <f t="shared" si="12"/>
        <v>26.53</v>
      </c>
      <c r="AM46" s="19">
        <f t="shared" si="13"/>
        <v>-3</v>
      </c>
      <c r="AN46" s="13">
        <v>0</v>
      </c>
    </row>
    <row r="47" spans="1:40" hidden="1" x14ac:dyDescent="0.25">
      <c r="A47" s="3" t="s">
        <v>164</v>
      </c>
      <c r="B47" s="3" t="s">
        <v>165</v>
      </c>
      <c r="C47" s="3"/>
      <c r="D47" s="3" t="s">
        <v>105</v>
      </c>
      <c r="E47" s="3" t="s">
        <v>211</v>
      </c>
      <c r="F47" s="3" t="s">
        <v>106</v>
      </c>
      <c r="G47" s="14">
        <v>1.0193679918450561E-3</v>
      </c>
      <c r="H47" s="7"/>
      <c r="I47" s="14" t="e">
        <f>_xlfn.XLOOKUP(B47,#REF!,#REF!,0)</f>
        <v>#REF!</v>
      </c>
      <c r="J47" s="15" t="e">
        <f>_xlfn.XLOOKUP(B47,#REF!,#REF!,0)</f>
        <v>#REF!</v>
      </c>
      <c r="K47" s="15"/>
      <c r="L47" s="15"/>
      <c r="M47" s="15"/>
      <c r="N47" s="3" t="s">
        <v>58</v>
      </c>
      <c r="O47" s="3" t="s">
        <v>212</v>
      </c>
      <c r="P47" s="9" t="e">
        <f>_xlfn.XLOOKUP(A47,'By Country - Game'!A:A,'By Country - Game'!#REF!,0)</f>
        <v>#REF!</v>
      </c>
      <c r="Q47" s="9">
        <v>0</v>
      </c>
      <c r="R47" s="9">
        <f t="shared" si="14"/>
        <v>0</v>
      </c>
      <c r="S47" s="9" t="e">
        <f t="shared" si="10"/>
        <v>#REF!</v>
      </c>
      <c r="T47" s="19" t="e">
        <f t="shared" si="11"/>
        <v>#REF!</v>
      </c>
      <c r="U47" s="13" t="s">
        <v>213</v>
      </c>
      <c r="V47" s="9">
        <v>46.25</v>
      </c>
      <c r="W47" s="9" t="s">
        <v>52</v>
      </c>
      <c r="X47" s="9" t="s">
        <v>52</v>
      </c>
      <c r="Y47" s="9" t="s">
        <v>52</v>
      </c>
      <c r="Z47" s="9">
        <v>79.56</v>
      </c>
      <c r="AA47" s="9" t="s">
        <v>52</v>
      </c>
      <c r="AB47" s="9" t="s">
        <v>52</v>
      </c>
      <c r="AC47" s="9">
        <v>46.25</v>
      </c>
      <c r="AD47" s="9" t="s">
        <v>52</v>
      </c>
      <c r="AE47" s="9" t="s">
        <v>52</v>
      </c>
      <c r="AF47" s="9">
        <v>53.85</v>
      </c>
      <c r="AG47">
        <v>59.97</v>
      </c>
      <c r="AI47" s="9">
        <v>56.48</v>
      </c>
      <c r="AJ47" s="9">
        <v>0</v>
      </c>
      <c r="AK47" s="9">
        <f t="shared" si="15"/>
        <v>0</v>
      </c>
      <c r="AL47" s="9">
        <f t="shared" si="12"/>
        <v>56.48</v>
      </c>
      <c r="AM47" s="19">
        <f t="shared" ref="AM47:AM55" si="16">ROUND(AL47-$T$1,0)</f>
        <v>41</v>
      </c>
      <c r="AN47" s="13"/>
    </row>
    <row r="48" spans="1:40" hidden="1" x14ac:dyDescent="0.25">
      <c r="A48" s="3" t="s">
        <v>135</v>
      </c>
      <c r="B48" s="3" t="s">
        <v>136</v>
      </c>
      <c r="C48" s="3"/>
      <c r="D48" s="3" t="s">
        <v>105</v>
      </c>
      <c r="E48" s="3" t="s">
        <v>211</v>
      </c>
      <c r="F48" s="3" t="s">
        <v>106</v>
      </c>
      <c r="G48" s="14">
        <v>1.0193679918450561E-3</v>
      </c>
      <c r="H48" s="7"/>
      <c r="I48" s="14" t="e">
        <f>_xlfn.XLOOKUP(B48,#REF!,#REF!,0)</f>
        <v>#REF!</v>
      </c>
      <c r="J48" s="15" t="e">
        <f>_xlfn.XLOOKUP(B48,#REF!,#REF!,0)</f>
        <v>#REF!</v>
      </c>
      <c r="K48" s="15"/>
      <c r="L48" s="15"/>
      <c r="M48" s="15"/>
      <c r="N48" s="3" t="s">
        <v>117</v>
      </c>
      <c r="O48" s="3" t="s">
        <v>118</v>
      </c>
      <c r="P48" s="9" t="e">
        <f>_xlfn.XLOOKUP(A48,'By Country - Game'!A:A,'By Country - Game'!#REF!,0)</f>
        <v>#REF!</v>
      </c>
      <c r="Q48" s="9">
        <v>0</v>
      </c>
      <c r="R48" s="9">
        <f t="shared" si="14"/>
        <v>0</v>
      </c>
      <c r="S48" s="9" t="e">
        <f t="shared" si="10"/>
        <v>#REF!</v>
      </c>
      <c r="T48" s="19" t="e">
        <f t="shared" si="11"/>
        <v>#REF!</v>
      </c>
      <c r="U48" s="13" t="s">
        <v>213</v>
      </c>
      <c r="V48" s="9">
        <v>46.25</v>
      </c>
      <c r="W48" s="9" t="s">
        <v>52</v>
      </c>
      <c r="X48" s="9" t="s">
        <v>52</v>
      </c>
      <c r="Y48" s="9" t="s">
        <v>52</v>
      </c>
      <c r="Z48" s="9">
        <v>57.9</v>
      </c>
      <c r="AA48" s="9" t="s">
        <v>52</v>
      </c>
      <c r="AB48" s="9" t="s">
        <v>52</v>
      </c>
      <c r="AC48" s="9">
        <v>46.25</v>
      </c>
      <c r="AD48" s="9" t="s">
        <v>52</v>
      </c>
      <c r="AE48" s="9">
        <v>53.85</v>
      </c>
      <c r="AF48" s="9">
        <v>53.85</v>
      </c>
      <c r="AG48" t="s">
        <v>52</v>
      </c>
      <c r="AI48" s="9">
        <v>56.48</v>
      </c>
      <c r="AJ48" s="9">
        <v>0</v>
      </c>
      <c r="AK48" s="9">
        <f t="shared" si="15"/>
        <v>0</v>
      </c>
      <c r="AL48" s="9">
        <f t="shared" si="12"/>
        <v>56.48</v>
      </c>
      <c r="AM48" s="19">
        <f t="shared" si="16"/>
        <v>41</v>
      </c>
      <c r="AN48" s="13"/>
    </row>
    <row r="49" spans="1:40" hidden="1" x14ac:dyDescent="0.25">
      <c r="A49" s="3" t="s">
        <v>131</v>
      </c>
      <c r="B49" s="3" t="s">
        <v>132</v>
      </c>
      <c r="C49" s="3"/>
      <c r="D49" s="3" t="s">
        <v>105</v>
      </c>
      <c r="E49" s="3" t="s">
        <v>214</v>
      </c>
      <c r="F49" s="3" t="s">
        <v>106</v>
      </c>
      <c r="G49" s="14">
        <v>8.1549439347604492E-3</v>
      </c>
      <c r="H49" s="7"/>
      <c r="I49" s="14" t="e">
        <f>_xlfn.XLOOKUP(B49,#REF!,#REF!,0)</f>
        <v>#REF!</v>
      </c>
      <c r="J49" s="15" t="e">
        <f>_xlfn.XLOOKUP(B49,#REF!,#REF!,0)</f>
        <v>#REF!</v>
      </c>
      <c r="K49" s="15"/>
      <c r="L49" s="15"/>
      <c r="M49" s="15"/>
      <c r="N49" s="3" t="s">
        <v>58</v>
      </c>
      <c r="O49" s="3" t="s">
        <v>215</v>
      </c>
      <c r="P49" s="9" t="e">
        <f>_xlfn.XLOOKUP(A49,'By Country - Game'!A:A,'By Country - Game'!#REF!,0)</f>
        <v>#REF!</v>
      </c>
      <c r="Q49" s="9">
        <v>0</v>
      </c>
      <c r="R49" s="9">
        <f t="shared" si="14"/>
        <v>0</v>
      </c>
      <c r="S49" s="9">
        <v>35.96</v>
      </c>
      <c r="T49" s="19">
        <f t="shared" si="11"/>
        <v>21</v>
      </c>
      <c r="U49" s="13" t="s">
        <v>213</v>
      </c>
      <c r="V49" s="9">
        <v>35.96</v>
      </c>
      <c r="W49" s="9" t="s">
        <v>52</v>
      </c>
      <c r="X49" s="9" t="s">
        <v>52</v>
      </c>
      <c r="Y49" s="9" t="s">
        <v>52</v>
      </c>
      <c r="Z49" s="9">
        <v>79.56</v>
      </c>
      <c r="AA49" s="9" t="s">
        <v>52</v>
      </c>
      <c r="AB49" s="9" t="s">
        <v>52</v>
      </c>
      <c r="AC49" s="9">
        <v>46.25</v>
      </c>
      <c r="AD49" s="9">
        <v>114.42</v>
      </c>
      <c r="AE49" s="9" t="s">
        <v>52</v>
      </c>
      <c r="AF49" s="11">
        <v>53.85</v>
      </c>
      <c r="AG49">
        <v>35.96</v>
      </c>
      <c r="AI49" s="9">
        <v>56.48</v>
      </c>
      <c r="AJ49" s="9">
        <v>0</v>
      </c>
      <c r="AK49" s="9">
        <f t="shared" si="15"/>
        <v>0</v>
      </c>
      <c r="AL49" s="9">
        <v>35.96</v>
      </c>
      <c r="AM49" s="19">
        <f t="shared" si="16"/>
        <v>21</v>
      </c>
      <c r="AN49" s="13"/>
    </row>
    <row r="50" spans="1:40" hidden="1" x14ac:dyDescent="0.25">
      <c r="A50" s="3" t="s">
        <v>123</v>
      </c>
      <c r="B50" s="3" t="s">
        <v>124</v>
      </c>
      <c r="C50" s="3"/>
      <c r="D50" s="3" t="s">
        <v>105</v>
      </c>
      <c r="E50" s="3" t="s">
        <v>214</v>
      </c>
      <c r="F50" s="3" t="s">
        <v>106</v>
      </c>
      <c r="G50" s="14">
        <v>5.0968399592252805E-3</v>
      </c>
      <c r="H50" s="7"/>
      <c r="I50" s="14" t="e">
        <f>_xlfn.XLOOKUP(B50,#REF!,#REF!,0)</f>
        <v>#REF!</v>
      </c>
      <c r="J50" s="15" t="e">
        <f>_xlfn.XLOOKUP(B50,#REF!,#REF!,0)</f>
        <v>#REF!</v>
      </c>
      <c r="K50" s="15"/>
      <c r="L50" s="15"/>
      <c r="M50" s="15"/>
      <c r="N50" s="3" t="s">
        <v>58</v>
      </c>
      <c r="O50" s="3" t="s">
        <v>216</v>
      </c>
      <c r="P50" s="9" t="e">
        <f>_xlfn.XLOOKUP(A50,'By Country - Game'!A:A,'By Country - Game'!#REF!,0)</f>
        <v>#REF!</v>
      </c>
      <c r="Q50" s="9">
        <v>0</v>
      </c>
      <c r="R50" s="9">
        <f t="shared" si="14"/>
        <v>0</v>
      </c>
      <c r="S50" s="9">
        <v>35.96</v>
      </c>
      <c r="T50" s="19">
        <f t="shared" si="11"/>
        <v>21</v>
      </c>
      <c r="U50" s="13" t="s">
        <v>213</v>
      </c>
      <c r="V50" s="9">
        <v>35.96</v>
      </c>
      <c r="W50" s="9" t="s">
        <v>52</v>
      </c>
      <c r="X50" s="9" t="s">
        <v>52</v>
      </c>
      <c r="Y50" s="9" t="s">
        <v>52</v>
      </c>
      <c r="Z50" s="9">
        <v>57.9</v>
      </c>
      <c r="AA50" s="9" t="s">
        <v>52</v>
      </c>
      <c r="AB50" s="9" t="s">
        <v>52</v>
      </c>
      <c r="AC50" s="9">
        <v>46.25</v>
      </c>
      <c r="AD50" s="9">
        <v>55.01</v>
      </c>
      <c r="AE50" s="9" t="s">
        <v>52</v>
      </c>
      <c r="AF50" s="10">
        <v>53.85</v>
      </c>
      <c r="AG50">
        <v>35.96</v>
      </c>
      <c r="AI50" s="9">
        <v>56.48</v>
      </c>
      <c r="AJ50" s="9">
        <v>0</v>
      </c>
      <c r="AK50" s="9">
        <f t="shared" si="15"/>
        <v>0</v>
      </c>
      <c r="AL50" s="9">
        <v>35.96</v>
      </c>
      <c r="AM50" s="19">
        <f t="shared" si="16"/>
        <v>21</v>
      </c>
      <c r="AN50" s="13"/>
    </row>
    <row r="51" spans="1:40" hidden="1" x14ac:dyDescent="0.25">
      <c r="A51" s="3" t="s">
        <v>143</v>
      </c>
      <c r="B51" s="3" t="s">
        <v>144</v>
      </c>
      <c r="C51" s="3"/>
      <c r="D51" s="3" t="s">
        <v>105</v>
      </c>
      <c r="E51" s="3" t="s">
        <v>214</v>
      </c>
      <c r="F51" s="3" t="s">
        <v>106</v>
      </c>
      <c r="G51" s="14">
        <v>1.5290519877675841E-3</v>
      </c>
      <c r="H51" s="7"/>
      <c r="I51" s="14" t="e">
        <f>_xlfn.XLOOKUP(B51,#REF!,#REF!,0)</f>
        <v>#REF!</v>
      </c>
      <c r="J51" s="15" t="e">
        <f>_xlfn.XLOOKUP(B51,#REF!,#REF!,0)</f>
        <v>#REF!</v>
      </c>
      <c r="K51" s="15"/>
      <c r="L51" s="15"/>
      <c r="M51" s="15"/>
      <c r="N51" s="3" t="s">
        <v>117</v>
      </c>
      <c r="O51" s="3" t="s">
        <v>118</v>
      </c>
      <c r="P51" s="9" t="e">
        <f>_xlfn.XLOOKUP(A51,'By Country - Game'!A:A,'By Country - Game'!#REF!,0)</f>
        <v>#REF!</v>
      </c>
      <c r="Q51" s="9">
        <v>0</v>
      </c>
      <c r="R51" s="9">
        <f t="shared" si="14"/>
        <v>0</v>
      </c>
      <c r="S51" s="9">
        <v>35.96</v>
      </c>
      <c r="T51" s="19">
        <f t="shared" si="11"/>
        <v>21</v>
      </c>
      <c r="U51" s="13" t="s">
        <v>213</v>
      </c>
      <c r="V51" s="9">
        <v>35.96</v>
      </c>
      <c r="W51" s="9" t="s">
        <v>52</v>
      </c>
      <c r="X51" s="9" t="s">
        <v>52</v>
      </c>
      <c r="Y51" s="9" t="s">
        <v>52</v>
      </c>
      <c r="Z51" s="9">
        <v>79.56</v>
      </c>
      <c r="AA51" s="9" t="s">
        <v>52</v>
      </c>
      <c r="AB51" s="9" t="s">
        <v>52</v>
      </c>
      <c r="AC51" s="9">
        <v>46.25</v>
      </c>
      <c r="AD51" s="9">
        <v>188.25</v>
      </c>
      <c r="AE51" s="9">
        <v>53.85</v>
      </c>
      <c r="AF51" s="9" t="s">
        <v>52</v>
      </c>
      <c r="AG51">
        <v>35.96</v>
      </c>
      <c r="AI51" s="9">
        <v>56.48</v>
      </c>
      <c r="AJ51" s="9">
        <v>0</v>
      </c>
      <c r="AK51" s="9">
        <f t="shared" si="15"/>
        <v>0</v>
      </c>
      <c r="AL51" s="9">
        <v>35.96</v>
      </c>
      <c r="AM51" s="19">
        <f t="shared" si="16"/>
        <v>21</v>
      </c>
      <c r="AN51" s="13"/>
    </row>
    <row r="52" spans="1:40" hidden="1" x14ac:dyDescent="0.25">
      <c r="A52" s="3" t="s">
        <v>172</v>
      </c>
      <c r="B52" s="3" t="s">
        <v>173</v>
      </c>
      <c r="C52" s="3"/>
      <c r="D52" s="3" t="s">
        <v>105</v>
      </c>
      <c r="E52" s="3" t="s">
        <v>214</v>
      </c>
      <c r="F52" s="3" t="s">
        <v>106</v>
      </c>
      <c r="G52" s="14">
        <v>5.0968399592252807E-4</v>
      </c>
      <c r="H52" s="7"/>
      <c r="I52" s="14" t="e">
        <f>_xlfn.XLOOKUP(B52,#REF!,#REF!,0)</f>
        <v>#REF!</v>
      </c>
      <c r="J52" s="15" t="e">
        <f>_xlfn.XLOOKUP(B52,#REF!,#REF!,0)</f>
        <v>#REF!</v>
      </c>
      <c r="K52" s="15"/>
      <c r="L52" s="15"/>
      <c r="M52" s="15"/>
      <c r="N52" s="3" t="s">
        <v>58</v>
      </c>
      <c r="O52" s="3" t="s">
        <v>217</v>
      </c>
      <c r="P52" s="9" t="e">
        <f>_xlfn.XLOOKUP(A52,'By Country - Game'!A:A,'By Country - Game'!#REF!,0)</f>
        <v>#REF!</v>
      </c>
      <c r="Q52" s="9">
        <v>0</v>
      </c>
      <c r="R52" s="9">
        <f t="shared" si="14"/>
        <v>0</v>
      </c>
      <c r="S52" s="9">
        <v>35.96</v>
      </c>
      <c r="T52" s="19">
        <f t="shared" si="11"/>
        <v>21</v>
      </c>
      <c r="U52" s="13" t="s">
        <v>213</v>
      </c>
      <c r="V52" s="9">
        <v>35.96</v>
      </c>
      <c r="W52" s="9" t="s">
        <v>52</v>
      </c>
      <c r="X52" s="9" t="s">
        <v>52</v>
      </c>
      <c r="Y52" s="9" t="s">
        <v>52</v>
      </c>
      <c r="Z52" s="9">
        <v>79.56</v>
      </c>
      <c r="AA52" s="9" t="s">
        <v>52</v>
      </c>
      <c r="AB52" s="9" t="s">
        <v>52</v>
      </c>
      <c r="AC52" s="9" t="s">
        <v>52</v>
      </c>
      <c r="AD52" s="9" t="s">
        <v>52</v>
      </c>
      <c r="AE52" s="9" t="s">
        <v>52</v>
      </c>
      <c r="AF52" s="9">
        <v>53.85</v>
      </c>
      <c r="AG52">
        <v>35.96</v>
      </c>
      <c r="AI52" s="9">
        <v>56.48</v>
      </c>
      <c r="AJ52" s="9">
        <v>0</v>
      </c>
      <c r="AK52" s="9">
        <f t="shared" si="15"/>
        <v>0</v>
      </c>
      <c r="AL52" s="9">
        <v>35.96</v>
      </c>
      <c r="AM52" s="19">
        <f t="shared" si="16"/>
        <v>21</v>
      </c>
      <c r="AN52" s="13"/>
    </row>
    <row r="53" spans="1:40" hidden="1" x14ac:dyDescent="0.25">
      <c r="A53" s="3" t="s">
        <v>145</v>
      </c>
      <c r="B53" s="3" t="s">
        <v>146</v>
      </c>
      <c r="C53" s="3"/>
      <c r="D53" s="3" t="s">
        <v>105</v>
      </c>
      <c r="E53" s="3" t="s">
        <v>214</v>
      </c>
      <c r="F53" s="3" t="s">
        <v>147</v>
      </c>
      <c r="G53" s="14">
        <v>3.0581039755351682E-3</v>
      </c>
      <c r="H53" s="7"/>
      <c r="I53" s="14" t="e">
        <f>_xlfn.XLOOKUP(B53,#REF!,#REF!,0)</f>
        <v>#REF!</v>
      </c>
      <c r="J53" s="15" t="e">
        <f>_xlfn.XLOOKUP(B53,#REF!,#REF!,0)</f>
        <v>#REF!</v>
      </c>
      <c r="K53" s="15"/>
      <c r="L53" s="15"/>
      <c r="M53" s="15" t="s">
        <v>218</v>
      </c>
      <c r="N53" s="3" t="s">
        <v>148</v>
      </c>
      <c r="O53" s="3" t="s">
        <v>149</v>
      </c>
      <c r="P53" s="21" t="e">
        <f>_xlfn.XLOOKUP(A53,'By Country - Game'!A:A,'By Country - Game'!#REF!,0)</f>
        <v>#REF!</v>
      </c>
      <c r="Q53" s="9">
        <v>0</v>
      </c>
      <c r="R53" s="9">
        <f t="shared" si="14"/>
        <v>0</v>
      </c>
      <c r="S53" s="9" t="e">
        <f>P53+R53</f>
        <v>#REF!</v>
      </c>
      <c r="T53" s="19" t="e">
        <f t="shared" si="11"/>
        <v>#REF!</v>
      </c>
      <c r="U53" s="13" t="s">
        <v>213</v>
      </c>
      <c r="V53" s="9">
        <v>35.96</v>
      </c>
      <c r="W53" s="9" t="s">
        <v>52</v>
      </c>
      <c r="X53" s="9" t="s">
        <v>52</v>
      </c>
      <c r="Y53" s="9" t="s">
        <v>52</v>
      </c>
      <c r="Z53" s="9">
        <v>79.56</v>
      </c>
      <c r="AA53" s="9" t="s">
        <v>52</v>
      </c>
      <c r="AB53" s="9" t="s">
        <v>52</v>
      </c>
      <c r="AC53" s="9">
        <v>46.25</v>
      </c>
      <c r="AD53" s="9" t="s">
        <v>52</v>
      </c>
      <c r="AE53" s="9" t="s">
        <v>52</v>
      </c>
      <c r="AF53" s="12">
        <v>113.8</v>
      </c>
      <c r="AG53">
        <v>35.96</v>
      </c>
      <c r="AI53" s="9">
        <v>42.49</v>
      </c>
      <c r="AJ53" s="9">
        <v>0</v>
      </c>
      <c r="AK53" s="9">
        <f t="shared" si="15"/>
        <v>0</v>
      </c>
      <c r="AL53" s="9">
        <f>AI53+AK53</f>
        <v>42.49</v>
      </c>
      <c r="AM53" s="19">
        <f t="shared" si="16"/>
        <v>27</v>
      </c>
      <c r="AN53" s="13"/>
    </row>
    <row r="54" spans="1:40" hidden="1" x14ac:dyDescent="0.25">
      <c r="A54" s="3" t="s">
        <v>103</v>
      </c>
      <c r="B54" s="3" t="s">
        <v>104</v>
      </c>
      <c r="C54" s="3"/>
      <c r="D54" s="3" t="s">
        <v>105</v>
      </c>
      <c r="E54" s="3" t="s">
        <v>219</v>
      </c>
      <c r="F54" s="3" t="s">
        <v>106</v>
      </c>
      <c r="G54" s="14">
        <v>1.2232415902140673E-2</v>
      </c>
      <c r="H54" s="7"/>
      <c r="I54" s="14" t="e">
        <f>_xlfn.XLOOKUP(B54,#REF!,#REF!,0)</f>
        <v>#REF!</v>
      </c>
      <c r="J54" s="15" t="e">
        <f>_xlfn.XLOOKUP(B54,#REF!,#REF!,0)</f>
        <v>#REF!</v>
      </c>
      <c r="K54" s="15"/>
      <c r="L54" s="15"/>
      <c r="M54" s="15"/>
      <c r="N54" s="3" t="s">
        <v>58</v>
      </c>
      <c r="O54" s="3"/>
      <c r="P54" s="9" t="e">
        <f>_xlfn.XLOOKUP(A54,'By Country - Game'!A:A,'By Country - Game'!#REF!,0)</f>
        <v>#REF!</v>
      </c>
      <c r="Q54" s="9">
        <v>0</v>
      </c>
      <c r="R54" s="9">
        <f t="shared" si="14"/>
        <v>0</v>
      </c>
      <c r="S54" s="9">
        <v>47.24</v>
      </c>
      <c r="T54" s="19">
        <f t="shared" si="11"/>
        <v>32</v>
      </c>
      <c r="U54" s="13" t="s">
        <v>213</v>
      </c>
      <c r="V54" s="9">
        <v>53.85</v>
      </c>
      <c r="W54" s="9" t="s">
        <v>52</v>
      </c>
      <c r="X54" s="9" t="s">
        <v>52</v>
      </c>
      <c r="Y54" s="9" t="s">
        <v>52</v>
      </c>
      <c r="Z54" s="9">
        <v>58.84</v>
      </c>
      <c r="AA54" s="9" t="s">
        <v>52</v>
      </c>
      <c r="AB54" s="9" t="s">
        <v>52</v>
      </c>
      <c r="AC54" s="9" t="s">
        <v>52</v>
      </c>
      <c r="AD54" s="9">
        <v>99.14</v>
      </c>
      <c r="AE54" s="9">
        <v>53.85</v>
      </c>
      <c r="AF54" s="10">
        <v>53.85</v>
      </c>
      <c r="AG54">
        <v>47.24</v>
      </c>
      <c r="AI54" s="9">
        <v>56.48</v>
      </c>
      <c r="AJ54" s="9">
        <v>0</v>
      </c>
      <c r="AK54" s="9">
        <f t="shared" si="15"/>
        <v>0</v>
      </c>
      <c r="AL54" s="9">
        <v>47.24</v>
      </c>
      <c r="AM54" s="19">
        <f t="shared" si="16"/>
        <v>32</v>
      </c>
      <c r="AN54" s="13"/>
    </row>
    <row r="55" spans="1:40" hidden="1" x14ac:dyDescent="0.25">
      <c r="A55" s="3" t="s">
        <v>162</v>
      </c>
      <c r="B55" s="3" t="s">
        <v>163</v>
      </c>
      <c r="C55" s="3"/>
      <c r="D55" s="3" t="s">
        <v>105</v>
      </c>
      <c r="E55" s="3" t="s">
        <v>219</v>
      </c>
      <c r="F55" s="3" t="s">
        <v>106</v>
      </c>
      <c r="G55" s="14">
        <v>5.0968399592252805E-3</v>
      </c>
      <c r="H55" s="7"/>
      <c r="I55" s="14" t="e">
        <f>_xlfn.XLOOKUP(B55,#REF!,#REF!,0)</f>
        <v>#REF!</v>
      </c>
      <c r="J55" s="15" t="e">
        <f>_xlfn.XLOOKUP(B55,#REF!,#REF!,0)</f>
        <v>#REF!</v>
      </c>
      <c r="K55" s="15"/>
      <c r="L55" s="15"/>
      <c r="M55" s="15"/>
      <c r="N55" s="3" t="s">
        <v>58</v>
      </c>
      <c r="O55" s="3" t="s">
        <v>220</v>
      </c>
      <c r="P55" s="9" t="e">
        <f>_xlfn.XLOOKUP(A55,'By Country - Game'!A:A,'By Country - Game'!#REF!,0)</f>
        <v>#REF!</v>
      </c>
      <c r="Q55" s="9">
        <v>0</v>
      </c>
      <c r="R55" s="9">
        <f t="shared" si="14"/>
        <v>0</v>
      </c>
      <c r="S55" s="9">
        <v>47.24</v>
      </c>
      <c r="T55" s="19">
        <f t="shared" si="11"/>
        <v>32</v>
      </c>
      <c r="U55" s="13" t="s">
        <v>213</v>
      </c>
      <c r="V55" s="9">
        <v>46.25</v>
      </c>
      <c r="W55" s="9" t="s">
        <v>52</v>
      </c>
      <c r="X55" s="9" t="s">
        <v>52</v>
      </c>
      <c r="Y55" s="9" t="s">
        <v>52</v>
      </c>
      <c r="Z55" s="9">
        <v>58.84</v>
      </c>
      <c r="AA55" s="9" t="s">
        <v>52</v>
      </c>
      <c r="AB55" s="9" t="s">
        <v>52</v>
      </c>
      <c r="AC55" s="9">
        <v>46.25</v>
      </c>
      <c r="AD55" s="9">
        <v>111.22</v>
      </c>
      <c r="AE55" s="9" t="s">
        <v>52</v>
      </c>
      <c r="AF55" s="10">
        <v>53.85</v>
      </c>
      <c r="AG55">
        <v>47.24</v>
      </c>
      <c r="AI55" s="9">
        <v>56.48</v>
      </c>
      <c r="AJ55" s="9">
        <v>0</v>
      </c>
      <c r="AK55" s="9">
        <f t="shared" si="15"/>
        <v>0</v>
      </c>
      <c r="AL55" s="9">
        <v>47.24</v>
      </c>
      <c r="AM55" s="19">
        <f t="shared" si="16"/>
        <v>32</v>
      </c>
      <c r="AN55" s="13"/>
    </row>
    <row r="56" spans="1:40" x14ac:dyDescent="0.25">
      <c r="A56" s="3" t="s">
        <v>74</v>
      </c>
      <c r="B56" s="3" t="s">
        <v>75</v>
      </c>
      <c r="C56" s="3"/>
      <c r="D56" s="3" t="s">
        <v>75</v>
      </c>
      <c r="E56" s="3">
        <v>1</v>
      </c>
      <c r="F56" s="3"/>
      <c r="G56" s="14">
        <v>0.53567787971457692</v>
      </c>
      <c r="H56" s="7"/>
      <c r="I56" s="14" t="e">
        <f>_xlfn.XLOOKUP(B56,#REF!,#REF!,0)</f>
        <v>#REF!</v>
      </c>
      <c r="J56" s="15" t="e">
        <f>_xlfn.XLOOKUP(B56,#REF!,#REF!,0)</f>
        <v>#REF!</v>
      </c>
      <c r="K56" s="15"/>
      <c r="L56" s="15"/>
      <c r="M56" s="15"/>
      <c r="N56" s="3" t="s">
        <v>221</v>
      </c>
      <c r="O56" s="3"/>
      <c r="P56" s="9" t="e">
        <f>_xlfn.XLOOKUP(A56,'By Country - Game'!A:A,'By Country - Game'!#REF!,0)</f>
        <v>#REF!</v>
      </c>
      <c r="Q56" s="9">
        <v>0</v>
      </c>
      <c r="R56" s="9">
        <f t="shared" si="14"/>
        <v>0</v>
      </c>
      <c r="S56" s="9" t="e">
        <f t="shared" ref="S56:S64" si="17">P56+R56</f>
        <v>#REF!</v>
      </c>
      <c r="T56" s="19" t="e">
        <f t="shared" si="11"/>
        <v>#REF!</v>
      </c>
      <c r="U56" s="13">
        <v>0</v>
      </c>
      <c r="V56" s="9">
        <v>25.41</v>
      </c>
      <c r="W56" s="9">
        <v>27.32</v>
      </c>
      <c r="X56" s="9">
        <v>29.7</v>
      </c>
      <c r="Y56" s="9">
        <v>25.41</v>
      </c>
      <c r="Z56" s="9" t="s">
        <v>52</v>
      </c>
      <c r="AA56" s="9" t="s">
        <v>52</v>
      </c>
      <c r="AB56" s="9" t="s">
        <v>52</v>
      </c>
      <c r="AC56" s="9">
        <v>46.25</v>
      </c>
      <c r="AD56" s="9">
        <v>80.56</v>
      </c>
      <c r="AE56" s="9">
        <v>113.8</v>
      </c>
      <c r="AF56" s="9" t="s">
        <v>52</v>
      </c>
      <c r="AG56">
        <v>59.97</v>
      </c>
      <c r="AI56" s="9">
        <v>29.91</v>
      </c>
      <c r="AJ56" s="9">
        <v>0</v>
      </c>
      <c r="AK56" s="9">
        <f t="shared" si="15"/>
        <v>0</v>
      </c>
      <c r="AL56" s="9">
        <f t="shared" ref="AL56:AL64" si="18">AI56+AK56</f>
        <v>29.91</v>
      </c>
      <c r="AM56" s="19">
        <f t="shared" ref="AM56:AM64" si="19">ROUND(AL56-$AM$1,0)</f>
        <v>0</v>
      </c>
      <c r="AN56" s="13">
        <v>0</v>
      </c>
    </row>
    <row r="57" spans="1:40" x14ac:dyDescent="0.25">
      <c r="A57" s="3" t="s">
        <v>76</v>
      </c>
      <c r="B57" s="3" t="s">
        <v>77</v>
      </c>
      <c r="C57" s="3"/>
      <c r="D57" s="3" t="s">
        <v>78</v>
      </c>
      <c r="E57" s="3"/>
      <c r="F57" s="3"/>
      <c r="G57" s="14">
        <v>6.5239551478083593E-2</v>
      </c>
      <c r="H57" s="7"/>
      <c r="I57" s="14" t="e">
        <f>_xlfn.XLOOKUP(B57,#REF!,#REF!,0)</f>
        <v>#REF!</v>
      </c>
      <c r="J57" s="15" t="e">
        <f>_xlfn.XLOOKUP(B57,#REF!,#REF!,0)</f>
        <v>#REF!</v>
      </c>
      <c r="K57" s="15"/>
      <c r="L57" s="15"/>
      <c r="M57" s="15"/>
      <c r="N57" s="3" t="s">
        <v>47</v>
      </c>
      <c r="O57" s="3"/>
      <c r="P57" s="9" t="e">
        <f>_xlfn.XLOOKUP(A57,'By Country - Game'!A:A,'By Country - Game'!#REF!,0)</f>
        <v>#REF!</v>
      </c>
      <c r="Q57" s="9">
        <v>0.2</v>
      </c>
      <c r="R57" s="9">
        <f t="shared" si="14"/>
        <v>12.5</v>
      </c>
      <c r="S57" s="9" t="e">
        <f t="shared" si="17"/>
        <v>#REF!</v>
      </c>
      <c r="T57" s="19" t="e">
        <f t="shared" si="11"/>
        <v>#REF!</v>
      </c>
      <c r="U57" s="13">
        <v>10</v>
      </c>
      <c r="V57" s="9">
        <v>14.85</v>
      </c>
      <c r="W57" s="9" t="s">
        <v>52</v>
      </c>
      <c r="X57" s="9" t="s">
        <v>52</v>
      </c>
      <c r="Y57" s="9" t="s">
        <v>52</v>
      </c>
      <c r="Z57" s="9">
        <v>54.67</v>
      </c>
      <c r="AA57" s="9" t="s">
        <v>52</v>
      </c>
      <c r="AB57" s="9" t="s">
        <v>52</v>
      </c>
      <c r="AC57" s="9">
        <v>20.010000000000002</v>
      </c>
      <c r="AD57" s="9">
        <v>14.85</v>
      </c>
      <c r="AE57" s="9">
        <v>113.8</v>
      </c>
      <c r="AF57" s="9" t="s">
        <v>52</v>
      </c>
      <c r="AG57">
        <v>59.97</v>
      </c>
      <c r="AI57" s="9">
        <v>17.510000000000002</v>
      </c>
      <c r="AJ57" s="9">
        <v>0.2</v>
      </c>
      <c r="AK57" s="9">
        <f t="shared" si="15"/>
        <v>12.5</v>
      </c>
      <c r="AL57" s="9">
        <f t="shared" si="18"/>
        <v>30.01</v>
      </c>
      <c r="AM57" s="19">
        <f t="shared" si="19"/>
        <v>0</v>
      </c>
      <c r="AN57" s="13">
        <v>0</v>
      </c>
    </row>
    <row r="58" spans="1:40" x14ac:dyDescent="0.25">
      <c r="A58" s="3" t="s">
        <v>83</v>
      </c>
      <c r="B58" s="3" t="s">
        <v>84</v>
      </c>
      <c r="C58" s="3"/>
      <c r="D58" s="3" t="s">
        <v>84</v>
      </c>
      <c r="E58" s="3"/>
      <c r="F58" s="3" t="s">
        <v>83</v>
      </c>
      <c r="G58" s="14">
        <v>5.657492354740061E-2</v>
      </c>
      <c r="H58" s="7"/>
      <c r="I58" s="14" t="e">
        <f>_xlfn.XLOOKUP(B58,#REF!,#REF!,0)</f>
        <v>#REF!</v>
      </c>
      <c r="J58" s="15" t="e">
        <f>_xlfn.XLOOKUP(B58,#REF!,#REF!,0)</f>
        <v>#REF!</v>
      </c>
      <c r="K58" s="15"/>
      <c r="L58" s="15"/>
      <c r="M58" s="15"/>
      <c r="N58" s="3" t="s">
        <v>197</v>
      </c>
      <c r="O58" s="3"/>
      <c r="P58" s="9" t="e">
        <f>_xlfn.XLOOKUP(A58,'By Country - Game'!A:A,'By Country - Game'!#REF!,0)</f>
        <v>#REF!</v>
      </c>
      <c r="Q58" s="9">
        <v>0.05</v>
      </c>
      <c r="R58" s="9"/>
      <c r="S58" s="9" t="e">
        <f t="shared" si="17"/>
        <v>#REF!</v>
      </c>
      <c r="T58" s="19" t="e">
        <f t="shared" si="11"/>
        <v>#REF!</v>
      </c>
      <c r="U58" s="13">
        <v>5</v>
      </c>
      <c r="V58" s="9">
        <v>26.09</v>
      </c>
      <c r="W58" s="9" t="s">
        <v>52</v>
      </c>
      <c r="X58" s="9" t="s">
        <v>52</v>
      </c>
      <c r="Y58" s="9">
        <v>26.09</v>
      </c>
      <c r="Z58" s="9">
        <v>41.84</v>
      </c>
      <c r="AA58" s="9">
        <v>36.08</v>
      </c>
      <c r="AB58" s="9" t="s">
        <v>52</v>
      </c>
      <c r="AC58" s="9">
        <v>46.25</v>
      </c>
      <c r="AD58" s="9">
        <v>91.34</v>
      </c>
      <c r="AE58" s="9">
        <v>150.88999999999999</v>
      </c>
      <c r="AF58" s="9" t="s">
        <v>52</v>
      </c>
      <c r="AG58">
        <v>59.97</v>
      </c>
      <c r="AI58" s="9">
        <v>36.409999999999997</v>
      </c>
      <c r="AJ58" s="9">
        <v>0.05</v>
      </c>
      <c r="AK58" s="9"/>
      <c r="AL58" s="9">
        <f t="shared" si="18"/>
        <v>36.409999999999997</v>
      </c>
      <c r="AM58" s="19">
        <f t="shared" si="19"/>
        <v>6</v>
      </c>
      <c r="AN58" s="13">
        <v>5</v>
      </c>
    </row>
    <row r="59" spans="1:40" x14ac:dyDescent="0.25">
      <c r="A59" s="3" t="s">
        <v>86</v>
      </c>
      <c r="B59" s="3" t="s">
        <v>87</v>
      </c>
      <c r="C59" s="3"/>
      <c r="D59" s="3" t="s">
        <v>87</v>
      </c>
      <c r="E59" s="3"/>
      <c r="F59" s="3"/>
      <c r="G59" s="14">
        <v>3.669724770642202E-2</v>
      </c>
      <c r="H59" s="7"/>
      <c r="I59" s="14" t="e">
        <f>_xlfn.XLOOKUP(B59,#REF!,#REF!,0)</f>
        <v>#REF!</v>
      </c>
      <c r="J59" s="15" t="e">
        <f>_xlfn.XLOOKUP(B59,#REF!,#REF!,0)</f>
        <v>#REF!</v>
      </c>
      <c r="K59" s="15"/>
      <c r="L59" s="15"/>
      <c r="M59" s="15"/>
      <c r="N59" s="3" t="s">
        <v>88</v>
      </c>
      <c r="O59" s="3"/>
      <c r="P59" s="9" t="e">
        <f>_xlfn.XLOOKUP(A59,'By Country - Game'!A:A,'By Country - Game'!#REF!,0)</f>
        <v>#REF!</v>
      </c>
      <c r="Q59" s="9">
        <v>0.1</v>
      </c>
      <c r="R59" s="9"/>
      <c r="S59" s="9" t="e">
        <f t="shared" si="17"/>
        <v>#REF!</v>
      </c>
      <c r="T59" s="19" t="e">
        <f t="shared" si="11"/>
        <v>#REF!</v>
      </c>
      <c r="U59" s="13">
        <v>10</v>
      </c>
      <c r="V59" s="9">
        <v>32.26</v>
      </c>
      <c r="W59" s="9" t="s">
        <v>52</v>
      </c>
      <c r="X59" s="9" t="s">
        <v>52</v>
      </c>
      <c r="Y59" s="9" t="s">
        <v>52</v>
      </c>
      <c r="Z59" s="9">
        <v>79.56</v>
      </c>
      <c r="AA59" s="9" t="s">
        <v>52</v>
      </c>
      <c r="AB59" s="9">
        <v>32.26</v>
      </c>
      <c r="AC59" s="9">
        <v>46.25</v>
      </c>
      <c r="AD59" s="9">
        <v>80.03</v>
      </c>
      <c r="AE59" s="9" t="s">
        <v>52</v>
      </c>
      <c r="AF59" s="9">
        <v>53.85</v>
      </c>
      <c r="AG59">
        <v>47.24</v>
      </c>
      <c r="AI59" s="9">
        <v>40.950000000000003</v>
      </c>
      <c r="AJ59" s="9">
        <v>0.1</v>
      </c>
      <c r="AK59" s="9"/>
      <c r="AL59" s="9">
        <f t="shared" si="18"/>
        <v>40.950000000000003</v>
      </c>
      <c r="AM59" s="19">
        <f t="shared" si="19"/>
        <v>11</v>
      </c>
      <c r="AN59" s="13">
        <v>10</v>
      </c>
    </row>
    <row r="60" spans="1:40" x14ac:dyDescent="0.25">
      <c r="A60" s="3" t="s">
        <v>112</v>
      </c>
      <c r="B60" s="3" t="s">
        <v>113</v>
      </c>
      <c r="C60" s="3"/>
      <c r="D60" s="3" t="s">
        <v>87</v>
      </c>
      <c r="E60" s="3"/>
      <c r="F60" s="3"/>
      <c r="G60" s="14">
        <v>8.6646279306829763E-3</v>
      </c>
      <c r="H60" s="7"/>
      <c r="I60" s="14" t="e">
        <f>_xlfn.XLOOKUP(B60,#REF!,#REF!,0)</f>
        <v>#REF!</v>
      </c>
      <c r="J60" s="15" t="e">
        <f>_xlfn.XLOOKUP(B60,#REF!,#REF!,0)</f>
        <v>#REF!</v>
      </c>
      <c r="K60" s="15"/>
      <c r="L60" s="15"/>
      <c r="M60" s="15"/>
      <c r="N60" s="3" t="s">
        <v>222</v>
      </c>
      <c r="O60" s="3"/>
      <c r="P60" s="9" t="e">
        <f>_xlfn.XLOOKUP(A60,'By Country - Game'!A:A,'By Country - Game'!#REF!,0)</f>
        <v>#REF!</v>
      </c>
      <c r="Q60" s="9">
        <v>0</v>
      </c>
      <c r="R60" s="9">
        <f>$R$1*Q60</f>
        <v>0</v>
      </c>
      <c r="S60" s="9" t="e">
        <f t="shared" si="17"/>
        <v>#REF!</v>
      </c>
      <c r="T60" s="19" t="e">
        <f t="shared" si="11"/>
        <v>#REF!</v>
      </c>
      <c r="U60" s="13">
        <v>10</v>
      </c>
      <c r="V60" s="9">
        <v>46.25</v>
      </c>
      <c r="W60" s="9" t="s">
        <v>52</v>
      </c>
      <c r="X60" s="9" t="s">
        <v>52</v>
      </c>
      <c r="Y60" s="9" t="s">
        <v>52</v>
      </c>
      <c r="Z60" s="9">
        <v>79.56</v>
      </c>
      <c r="AA60" s="9" t="s">
        <v>52</v>
      </c>
      <c r="AB60" s="9">
        <v>82.2</v>
      </c>
      <c r="AC60" s="9">
        <v>46.25</v>
      </c>
      <c r="AD60" s="9">
        <v>133.83000000000001</v>
      </c>
      <c r="AE60" s="9">
        <v>113.8</v>
      </c>
      <c r="AF60" s="9">
        <v>113.8</v>
      </c>
      <c r="AG60">
        <v>59.97</v>
      </c>
      <c r="AI60" s="9">
        <v>49.91</v>
      </c>
      <c r="AJ60" s="9">
        <v>0</v>
      </c>
      <c r="AK60" s="9">
        <f>$R$1*AJ60</f>
        <v>0</v>
      </c>
      <c r="AL60" s="9">
        <f t="shared" si="18"/>
        <v>49.91</v>
      </c>
      <c r="AM60" s="19">
        <f t="shared" si="19"/>
        <v>20</v>
      </c>
      <c r="AN60" s="13">
        <v>10</v>
      </c>
    </row>
    <row r="61" spans="1:40" x14ac:dyDescent="0.25">
      <c r="A61" s="3" t="s">
        <v>174</v>
      </c>
      <c r="B61" s="3" t="s">
        <v>175</v>
      </c>
      <c r="C61" s="3"/>
      <c r="D61" s="3" t="s">
        <v>81</v>
      </c>
      <c r="E61" s="3" t="s">
        <v>91</v>
      </c>
      <c r="F61" s="3" t="s">
        <v>223</v>
      </c>
      <c r="G61" s="14">
        <v>0</v>
      </c>
      <c r="H61" s="7"/>
      <c r="I61" s="14" t="e">
        <f>_xlfn.XLOOKUP(B61,#REF!,#REF!,0)</f>
        <v>#REF!</v>
      </c>
      <c r="J61" s="15" t="e">
        <f>_xlfn.XLOOKUP(B61,#REF!,#REF!,0)</f>
        <v>#REF!</v>
      </c>
      <c r="K61" s="7" t="e">
        <f>J61/978</f>
        <v>#REF!</v>
      </c>
      <c r="L61" s="7" t="e">
        <f>K61*Q61</f>
        <v>#REF!</v>
      </c>
      <c r="M61" s="15"/>
      <c r="N61" s="3" t="s">
        <v>73</v>
      </c>
      <c r="O61" s="3"/>
      <c r="P61" s="9" t="e">
        <f>_xlfn.XLOOKUP(A61,'By Country - Game'!A:A,'By Country - Game'!#REF!,0)</f>
        <v>#REF!</v>
      </c>
      <c r="Q61" s="9">
        <v>0.18</v>
      </c>
      <c r="R61" s="9"/>
      <c r="S61" s="9" t="e">
        <f t="shared" si="17"/>
        <v>#REF!</v>
      </c>
      <c r="T61" s="19" t="e">
        <f t="shared" si="11"/>
        <v>#REF!</v>
      </c>
      <c r="U61" s="13" t="s">
        <v>224</v>
      </c>
      <c r="V61" s="9">
        <v>46.25</v>
      </c>
      <c r="W61" s="9" t="s">
        <v>52</v>
      </c>
      <c r="X61" s="9" t="s">
        <v>52</v>
      </c>
      <c r="Y61" s="9" t="s">
        <v>52</v>
      </c>
      <c r="Z61" s="9">
        <v>66.45</v>
      </c>
      <c r="AA61" s="9" t="s">
        <v>52</v>
      </c>
      <c r="AB61" s="9" t="s">
        <v>52</v>
      </c>
      <c r="AC61" s="9">
        <v>46.25</v>
      </c>
      <c r="AD61" s="9">
        <v>77.959999999999994</v>
      </c>
      <c r="AE61" s="9">
        <v>273.35000000000002</v>
      </c>
      <c r="AF61" s="9" t="s">
        <v>52</v>
      </c>
      <c r="AG61" t="s">
        <v>52</v>
      </c>
      <c r="AI61" s="9">
        <v>49.91</v>
      </c>
      <c r="AJ61" s="9">
        <v>0.18</v>
      </c>
      <c r="AK61" s="9"/>
      <c r="AL61" s="9">
        <f t="shared" si="18"/>
        <v>49.91</v>
      </c>
      <c r="AM61" s="19">
        <f t="shared" si="19"/>
        <v>20</v>
      </c>
      <c r="AN61" s="13" t="s">
        <v>224</v>
      </c>
    </row>
    <row r="62" spans="1:40" x14ac:dyDescent="0.25">
      <c r="A62" s="3" t="s">
        <v>166</v>
      </c>
      <c r="B62" s="3" t="s">
        <v>167</v>
      </c>
      <c r="C62" s="3"/>
      <c r="D62" s="3" t="s">
        <v>81</v>
      </c>
      <c r="E62" s="3" t="s">
        <v>91</v>
      </c>
      <c r="F62" s="3" t="s">
        <v>223</v>
      </c>
      <c r="G62" s="14">
        <v>0</v>
      </c>
      <c r="H62" s="7"/>
      <c r="I62" s="14" t="e">
        <f>_xlfn.XLOOKUP(B62,#REF!,#REF!,0)</f>
        <v>#REF!</v>
      </c>
      <c r="J62" s="15" t="e">
        <f>_xlfn.XLOOKUP(B62,#REF!,#REF!,0)</f>
        <v>#REF!</v>
      </c>
      <c r="K62" s="7" t="e">
        <f>J62/978</f>
        <v>#REF!</v>
      </c>
      <c r="L62" s="7" t="e">
        <f>K62*Q62</f>
        <v>#REF!</v>
      </c>
      <c r="M62" s="15"/>
      <c r="N62" s="3" t="s">
        <v>73</v>
      </c>
      <c r="O62" s="3"/>
      <c r="P62" s="9" t="e">
        <f>_xlfn.XLOOKUP(A62,'By Country - Game'!A:A,'By Country - Game'!#REF!,0)</f>
        <v>#REF!</v>
      </c>
      <c r="Q62" s="9">
        <v>0.19</v>
      </c>
      <c r="R62" s="9"/>
      <c r="S62" s="9" t="e">
        <f t="shared" si="17"/>
        <v>#REF!</v>
      </c>
      <c r="T62" s="19" t="e">
        <f t="shared" si="11"/>
        <v>#REF!</v>
      </c>
      <c r="U62" s="13" t="s">
        <v>224</v>
      </c>
      <c r="V62" s="9">
        <v>46.25</v>
      </c>
      <c r="W62" s="9" t="s">
        <v>52</v>
      </c>
      <c r="X62" s="9" t="s">
        <v>52</v>
      </c>
      <c r="Y62" s="9" t="s">
        <v>52</v>
      </c>
      <c r="Z62" s="9">
        <v>73.989999999999995</v>
      </c>
      <c r="AA62" s="9" t="s">
        <v>52</v>
      </c>
      <c r="AB62" s="9" t="s">
        <v>52</v>
      </c>
      <c r="AC62" s="9">
        <v>46.25</v>
      </c>
      <c r="AD62" s="9">
        <v>72.900000000000006</v>
      </c>
      <c r="AE62" s="9">
        <v>273.35000000000002</v>
      </c>
      <c r="AF62" s="9" t="s">
        <v>52</v>
      </c>
      <c r="AG62" t="s">
        <v>52</v>
      </c>
      <c r="AI62" s="9">
        <v>49.91</v>
      </c>
      <c r="AJ62" s="9">
        <v>0.19</v>
      </c>
      <c r="AK62" s="9"/>
      <c r="AL62" s="9">
        <f t="shared" si="18"/>
        <v>49.91</v>
      </c>
      <c r="AM62" s="19">
        <f t="shared" si="19"/>
        <v>20</v>
      </c>
      <c r="AN62" s="13" t="s">
        <v>224</v>
      </c>
    </row>
    <row r="63" spans="1:40" x14ac:dyDescent="0.25">
      <c r="A63" s="3" t="s">
        <v>168</v>
      </c>
      <c r="B63" s="3" t="s">
        <v>169</v>
      </c>
      <c r="C63" s="3"/>
      <c r="D63" s="3" t="s">
        <v>81</v>
      </c>
      <c r="E63" s="3" t="s">
        <v>91</v>
      </c>
      <c r="F63" s="3" t="s">
        <v>223</v>
      </c>
      <c r="G63" s="14">
        <v>0</v>
      </c>
      <c r="H63" s="7"/>
      <c r="I63" s="14" t="e">
        <f>_xlfn.XLOOKUP(B63,#REF!,#REF!,0)</f>
        <v>#REF!</v>
      </c>
      <c r="J63" s="15" t="e">
        <f>_xlfn.XLOOKUP(B63,#REF!,#REF!,0)</f>
        <v>#REF!</v>
      </c>
      <c r="K63" s="7" t="e">
        <f>J63/978</f>
        <v>#REF!</v>
      </c>
      <c r="L63" s="7" t="e">
        <f>K63*Q63</f>
        <v>#REF!</v>
      </c>
      <c r="M63" s="15"/>
      <c r="N63" s="3" t="s">
        <v>47</v>
      </c>
      <c r="O63" s="3"/>
      <c r="P63" s="9" t="e">
        <f>_xlfn.XLOOKUP(A63,'By Country - Game'!A:A,'By Country - Game'!#REF!,0)</f>
        <v>#REF!</v>
      </c>
      <c r="Q63" s="9">
        <v>0.25</v>
      </c>
      <c r="R63" s="9"/>
      <c r="S63" s="9" t="e">
        <f t="shared" si="17"/>
        <v>#REF!</v>
      </c>
      <c r="T63" s="19" t="e">
        <f t="shared" si="11"/>
        <v>#REF!</v>
      </c>
      <c r="U63" s="13" t="s">
        <v>224</v>
      </c>
      <c r="V63" s="9">
        <v>33.74</v>
      </c>
      <c r="W63" s="9" t="s">
        <v>52</v>
      </c>
      <c r="X63" s="9" t="s">
        <v>52</v>
      </c>
      <c r="Y63" s="9" t="s">
        <v>52</v>
      </c>
      <c r="Z63" s="9">
        <v>86.59</v>
      </c>
      <c r="AA63" s="9" t="s">
        <v>52</v>
      </c>
      <c r="AB63" s="9" t="s">
        <v>52</v>
      </c>
      <c r="AC63" s="9">
        <v>46.25</v>
      </c>
      <c r="AD63" s="9">
        <v>33.74</v>
      </c>
      <c r="AE63" s="9">
        <v>273.35000000000002</v>
      </c>
      <c r="AF63" s="9" t="s">
        <v>52</v>
      </c>
      <c r="AG63" t="s">
        <v>52</v>
      </c>
      <c r="AI63" s="9">
        <v>49.91</v>
      </c>
      <c r="AJ63" s="9">
        <v>0.25</v>
      </c>
      <c r="AK63" s="9"/>
      <c r="AL63" s="9">
        <f t="shared" si="18"/>
        <v>49.91</v>
      </c>
      <c r="AM63" s="19">
        <f t="shared" si="19"/>
        <v>20</v>
      </c>
      <c r="AN63" s="13" t="s">
        <v>224</v>
      </c>
    </row>
    <row r="64" spans="1:40" x14ac:dyDescent="0.25">
      <c r="A64" s="3" t="s">
        <v>72</v>
      </c>
      <c r="B64" s="3"/>
      <c r="C64" s="3"/>
      <c r="D64" s="3" t="s">
        <v>53</v>
      </c>
      <c r="E64" s="3"/>
      <c r="F64" s="3"/>
      <c r="G64" s="14">
        <v>1.5290519877675841E-3</v>
      </c>
      <c r="H64" s="7"/>
      <c r="I64" s="14" t="e">
        <f>_xlfn.XLOOKUP(B64,#REF!,#REF!,0)</f>
        <v>#REF!</v>
      </c>
      <c r="J64" s="15" t="e">
        <f>_xlfn.XLOOKUP(B64,#REF!,#REF!,0)</f>
        <v>#REF!</v>
      </c>
      <c r="K64" s="15"/>
      <c r="L64" s="15"/>
      <c r="M64" s="15"/>
      <c r="N64" s="3" t="s">
        <v>205</v>
      </c>
      <c r="O64" s="3"/>
      <c r="P64" s="9" t="e">
        <f>_xlfn.XLOOKUP(A64,'By Country - Game'!A:A,'By Country - Game'!#REF!,0)</f>
        <v>#REF!</v>
      </c>
      <c r="Q64" s="9">
        <v>0</v>
      </c>
      <c r="R64" s="9">
        <f>$R$1*Q64</f>
        <v>0</v>
      </c>
      <c r="S64" s="9" t="e">
        <f t="shared" si="17"/>
        <v>#REF!</v>
      </c>
      <c r="T64" s="19" t="e">
        <f t="shared" si="11"/>
        <v>#REF!</v>
      </c>
      <c r="U64" s="13" t="s">
        <v>224</v>
      </c>
      <c r="V64" s="9">
        <v>58.11</v>
      </c>
      <c r="W64" s="9" t="s">
        <v>52</v>
      </c>
      <c r="X64" s="9" t="s">
        <v>52</v>
      </c>
      <c r="Y64" s="9" t="s">
        <v>52</v>
      </c>
      <c r="Z64" s="9" t="s">
        <v>52</v>
      </c>
      <c r="AA64" s="9" t="s">
        <v>52</v>
      </c>
      <c r="AB64" s="9" t="s">
        <v>52</v>
      </c>
      <c r="AC64" s="9">
        <v>58.11</v>
      </c>
      <c r="AD64" s="9" t="s">
        <v>52</v>
      </c>
      <c r="AE64" s="9" t="s">
        <v>52</v>
      </c>
      <c r="AF64" s="9" t="s">
        <v>52</v>
      </c>
      <c r="AG64" t="s">
        <v>52</v>
      </c>
      <c r="AI64" s="9">
        <v>62.8</v>
      </c>
      <c r="AJ64" s="9">
        <v>0</v>
      </c>
      <c r="AK64" s="9">
        <f>$R$1*AJ64</f>
        <v>0</v>
      </c>
      <c r="AL64" s="9">
        <f t="shared" si="18"/>
        <v>62.8</v>
      </c>
      <c r="AM64" s="19">
        <f t="shared" si="19"/>
        <v>33</v>
      </c>
      <c r="AN64" s="13" t="s">
        <v>224</v>
      </c>
    </row>
  </sheetData>
  <autoFilter ref="A3:AN64" xr:uid="{DCAB7F9C-61D6-4788-AE5C-77A22CAF889C}">
    <filterColumn colId="2">
      <filters blank="1"/>
    </filterColumn>
    <filterColumn colId="20">
      <filters blank="1">
        <filter val="-"/>
        <filter val="5"/>
      </filters>
    </filterColumn>
    <sortState xmlns:xlrd2="http://schemas.microsoft.com/office/spreadsheetml/2017/richdata2" ref="A19:AN64">
      <sortCondition ref="AM3:AM64"/>
    </sortState>
  </autoFilter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Ship by Country - Rollup</vt:lpstr>
      <vt:lpstr>By Country - Game</vt:lpstr>
      <vt:lpstr>Ship by Country 2 - Retail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Kirk Dennison</dc:creator>
  <cp:keywords/>
  <dc:description/>
  <cp:lastModifiedBy>Kirk Dennison</cp:lastModifiedBy>
  <cp:revision/>
  <dcterms:created xsi:type="dcterms:W3CDTF">2019-06-24T22:28:19Z</dcterms:created>
  <dcterms:modified xsi:type="dcterms:W3CDTF">2023-10-19T18:20:16Z</dcterms:modified>
  <cp:category/>
  <cp:contentStatus/>
</cp:coreProperties>
</file>